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etr\Desktop\"/>
    </mc:Choice>
  </mc:AlternateContent>
  <xr:revisionPtr revIDLastSave="0" documentId="13_ncr:1_{1EF9BB58-1BC2-4D09-BD5B-BBACB6743902}" xr6:coauthVersionLast="47" xr6:coauthVersionMax="47" xr10:uidLastSave="{00000000-0000-0000-0000-000000000000}"/>
  <bookViews>
    <workbookView xWindow="-108" yWindow="-108" windowWidth="23256" windowHeight="12576" xr2:uid="{0106F6CD-89E7-4A83-986F-A44BC8169460}"/>
  </bookViews>
  <sheets>
    <sheet name="List1" sheetId="1" r:id="rId1"/>
    <sheet name="List2" sheetId="2" state="hidden" r:id="rId2"/>
    <sheet name="List3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0" i="1" l="1"/>
  <c r="H29" i="1"/>
  <c r="H31" i="1"/>
  <c r="H33" i="1"/>
  <c r="H28" i="1"/>
  <c r="F33" i="1"/>
  <c r="F31" i="1"/>
  <c r="F30" i="1"/>
  <c r="F29" i="1"/>
  <c r="F28" i="1"/>
  <c r="U7" i="1"/>
  <c r="T7" i="1"/>
  <c r="S7" i="1"/>
  <c r="AA7" i="1"/>
  <c r="AF7" i="1"/>
  <c r="AB7" i="1"/>
  <c r="O7" i="1" s="1"/>
  <c r="J7" i="1"/>
  <c r="AC7" i="1"/>
  <c r="D28" i="1"/>
  <c r="D33" i="1"/>
  <c r="D31" i="1"/>
  <c r="Q92" i="3"/>
  <c r="AF91" i="3"/>
  <c r="AD91" i="3"/>
  <c r="AB91" i="3"/>
  <c r="R91" i="3"/>
  <c r="Q91" i="3"/>
  <c r="T91" i="3" s="1"/>
  <c r="P91" i="3"/>
  <c r="J91" i="3"/>
  <c r="AF90" i="3"/>
  <c r="AF92" i="3" s="1"/>
  <c r="AD90" i="3"/>
  <c r="AB90" i="3"/>
  <c r="T90" i="3"/>
  <c r="R90" i="3"/>
  <c r="R92" i="3" s="1"/>
  <c r="Q90" i="3"/>
  <c r="P90" i="3"/>
  <c r="P92" i="3" s="1"/>
  <c r="J90" i="3"/>
  <c r="E59" i="3"/>
  <c r="E58" i="3"/>
  <c r="H49" i="3"/>
  <c r="F49" i="3"/>
  <c r="H48" i="3"/>
  <c r="F48" i="3"/>
  <c r="J2" i="2"/>
  <c r="B29" i="1" s="1"/>
  <c r="W7" i="1" s="1"/>
  <c r="P7" i="1" l="1"/>
  <c r="AD7" i="1"/>
  <c r="R7" i="1"/>
  <c r="Q7" i="1"/>
  <c r="T92" i="3"/>
  <c r="B32" i="1"/>
  <c r="X7" i="1" s="1"/>
  <c r="B31" i="1"/>
  <c r="B28" i="1"/>
  <c r="V7" i="1" s="1"/>
  <c r="B30" i="1"/>
  <c r="Y7" i="1" s="1"/>
  <c r="B33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6" i="1"/>
  <c r="U5" i="1"/>
  <c r="U4" i="1"/>
  <c r="U3" i="1"/>
  <c r="U2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6" i="1"/>
  <c r="S5" i="1"/>
  <c r="S4" i="1"/>
  <c r="S3" i="1"/>
  <c r="T23" i="1"/>
  <c r="W23" i="1" s="1"/>
  <c r="T22" i="1"/>
  <c r="W22" i="1" s="1"/>
  <c r="T21" i="1"/>
  <c r="W21" i="1" s="1"/>
  <c r="T20" i="1"/>
  <c r="W20" i="1" s="1"/>
  <c r="T19" i="1"/>
  <c r="W19" i="1" s="1"/>
  <c r="T18" i="1"/>
  <c r="W18" i="1" s="1"/>
  <c r="T17" i="1"/>
  <c r="T16" i="1"/>
  <c r="W16" i="1" s="1"/>
  <c r="T15" i="1"/>
  <c r="W15" i="1" s="1"/>
  <c r="T14" i="1"/>
  <c r="W14" i="1" s="1"/>
  <c r="T13" i="1"/>
  <c r="W13" i="1" s="1"/>
  <c r="T12" i="1"/>
  <c r="W12" i="1" s="1"/>
  <c r="T10" i="1"/>
  <c r="W10" i="1" s="1"/>
  <c r="T11" i="1"/>
  <c r="W11" i="1" s="1"/>
  <c r="T9" i="1"/>
  <c r="W9" i="1" s="1"/>
  <c r="T8" i="1"/>
  <c r="W8" i="1" s="1"/>
  <c r="T6" i="1"/>
  <c r="W6" i="1" s="1"/>
  <c r="T5" i="1"/>
  <c r="W5" i="1" s="1"/>
  <c r="T4" i="1"/>
  <c r="W4" i="1" s="1"/>
  <c r="T3" i="1"/>
  <c r="W3" i="1" s="1"/>
  <c r="S2" i="1"/>
  <c r="T2" i="1"/>
  <c r="W2" i="1" s="1"/>
  <c r="AC23" i="1"/>
  <c r="J23" i="1"/>
  <c r="J22" i="1"/>
  <c r="AC22" i="1"/>
  <c r="AC3" i="1"/>
  <c r="AC4" i="1"/>
  <c r="AC5" i="1"/>
  <c r="AC6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" i="1"/>
  <c r="W17" i="1" l="1"/>
  <c r="D29" i="1"/>
  <c r="D30" i="1"/>
  <c r="X23" i="1"/>
  <c r="X19" i="1"/>
  <c r="X15" i="1"/>
  <c r="X11" i="1"/>
  <c r="X6" i="1"/>
  <c r="X2" i="1"/>
  <c r="X16" i="1"/>
  <c r="X12" i="1"/>
  <c r="X3" i="1"/>
  <c r="X22" i="1"/>
  <c r="X18" i="1"/>
  <c r="X14" i="1"/>
  <c r="X10" i="1"/>
  <c r="X5" i="1"/>
  <c r="X20" i="1"/>
  <c r="X8" i="1"/>
  <c r="X21" i="1"/>
  <c r="X17" i="1"/>
  <c r="X13" i="1"/>
  <c r="X9" i="1"/>
  <c r="X4" i="1"/>
  <c r="Y22" i="1"/>
  <c r="Y18" i="1"/>
  <c r="Y14" i="1"/>
  <c r="Y10" i="1"/>
  <c r="Y5" i="1"/>
  <c r="Y23" i="1"/>
  <c r="Y19" i="1"/>
  <c r="Y11" i="1"/>
  <c r="Y6" i="1"/>
  <c r="Y2" i="1"/>
  <c r="Y21" i="1"/>
  <c r="Y17" i="1"/>
  <c r="Y13" i="1"/>
  <c r="Y9" i="1"/>
  <c r="Y4" i="1"/>
  <c r="Y15" i="1"/>
  <c r="Y20" i="1"/>
  <c r="Y16" i="1"/>
  <c r="Y12" i="1"/>
  <c r="Y8" i="1"/>
  <c r="Y3" i="1"/>
  <c r="V23" i="1"/>
  <c r="V19" i="1"/>
  <c r="V15" i="1"/>
  <c r="V11" i="1"/>
  <c r="V6" i="1"/>
  <c r="V2" i="1"/>
  <c r="V5" i="1"/>
  <c r="V12" i="1"/>
  <c r="V3" i="1"/>
  <c r="V22" i="1"/>
  <c r="V18" i="1"/>
  <c r="V14" i="1"/>
  <c r="V10" i="1"/>
  <c r="V21" i="1"/>
  <c r="V17" i="1"/>
  <c r="V13" i="1"/>
  <c r="V9" i="1"/>
  <c r="V4" i="1"/>
  <c r="V20" i="1"/>
  <c r="V16" i="1"/>
  <c r="V8" i="1"/>
  <c r="AA12" i="1"/>
  <c r="J12" i="1"/>
  <c r="AA21" i="1"/>
  <c r="J21" i="1"/>
  <c r="AA20" i="1" l="1"/>
  <c r="AA19" i="1"/>
  <c r="AA18" i="1"/>
  <c r="AA17" i="1"/>
  <c r="AA16" i="1"/>
  <c r="AA15" i="1"/>
  <c r="AA14" i="1"/>
  <c r="AA13" i="1"/>
  <c r="AA11" i="1"/>
  <c r="AA10" i="1"/>
  <c r="AA9" i="1"/>
  <c r="AA8" i="1"/>
  <c r="AA6" i="1"/>
  <c r="AA5" i="1"/>
  <c r="AB23" i="1" s="1"/>
  <c r="O23" i="1" s="1"/>
  <c r="AA4" i="1"/>
  <c r="AB22" i="1" s="1"/>
  <c r="O22" i="1" s="1"/>
  <c r="AA3" i="1"/>
  <c r="J18" i="1"/>
  <c r="J17" i="1"/>
  <c r="J16" i="1"/>
  <c r="J15" i="1"/>
  <c r="J14" i="1"/>
  <c r="J19" i="1"/>
  <c r="J9" i="1"/>
  <c r="J20" i="1"/>
  <c r="J13" i="1"/>
  <c r="J8" i="1"/>
  <c r="J11" i="1"/>
  <c r="J10" i="1"/>
  <c r="AB18" i="1"/>
  <c r="O18" i="1" s="1"/>
  <c r="R18" i="1" s="1"/>
  <c r="AB17" i="1"/>
  <c r="O17" i="1" s="1"/>
  <c r="R17" i="1" s="1"/>
  <c r="AB16" i="1"/>
  <c r="O16" i="1" s="1"/>
  <c r="R16" i="1" s="1"/>
  <c r="AB15" i="1"/>
  <c r="O15" i="1" s="1"/>
  <c r="R15" i="1" s="1"/>
  <c r="AB14" i="1"/>
  <c r="O14" i="1" s="1"/>
  <c r="R14" i="1" s="1"/>
  <c r="AB19" i="1"/>
  <c r="O19" i="1" s="1"/>
  <c r="R19" i="1" s="1"/>
  <c r="AB9" i="1"/>
  <c r="O9" i="1" s="1"/>
  <c r="AB20" i="1"/>
  <c r="O20" i="1" s="1"/>
  <c r="R20" i="1" s="1"/>
  <c r="AB13" i="1"/>
  <c r="O13" i="1" s="1"/>
  <c r="R13" i="1" s="1"/>
  <c r="AB8" i="1"/>
  <c r="O8" i="1" s="1"/>
  <c r="AB11" i="1"/>
  <c r="O11" i="1" s="1"/>
  <c r="R11" i="1" s="1"/>
  <c r="AB10" i="1"/>
  <c r="O10" i="1" s="1"/>
  <c r="AB6" i="1"/>
  <c r="O6" i="1" s="1"/>
  <c r="R6" i="1" s="1"/>
  <c r="J6" i="1"/>
  <c r="AB5" i="1"/>
  <c r="O5" i="1" s="1"/>
  <c r="R5" i="1" s="1"/>
  <c r="J5" i="1"/>
  <c r="J4" i="1"/>
  <c r="AB4" i="1"/>
  <c r="O4" i="1" s="1"/>
  <c r="AB3" i="1"/>
  <c r="O3" i="1" s="1"/>
  <c r="AB2" i="1"/>
  <c r="O2" i="1" s="1"/>
  <c r="J2" i="1"/>
  <c r="J3" i="1"/>
  <c r="AF23" i="1" l="1"/>
  <c r="AD23" i="1"/>
  <c r="Q23" i="1"/>
  <c r="P23" i="1"/>
  <c r="R23" i="1"/>
  <c r="R22" i="1"/>
  <c r="AF22" i="1"/>
  <c r="AD22" i="1"/>
  <c r="P22" i="1"/>
  <c r="Q22" i="1"/>
  <c r="AB21" i="1"/>
  <c r="O21" i="1" s="1"/>
  <c r="Q21" i="1" s="1"/>
  <c r="AB12" i="1"/>
  <c r="O12" i="1" s="1"/>
  <c r="P9" i="1"/>
  <c r="R9" i="1"/>
  <c r="AF4" i="1"/>
  <c r="R4" i="1"/>
  <c r="Q3" i="1"/>
  <c r="R3" i="1"/>
  <c r="AD2" i="1"/>
  <c r="R2" i="1"/>
  <c r="P10" i="1"/>
  <c r="R10" i="1"/>
  <c r="Q8" i="1"/>
  <c r="R8" i="1"/>
  <c r="AD5" i="1"/>
  <c r="AF5" i="1"/>
  <c r="AF3" i="1"/>
  <c r="AF2" i="1"/>
  <c r="P18" i="1"/>
  <c r="Q18" i="1"/>
  <c r="AD18" i="1"/>
  <c r="AF18" i="1"/>
  <c r="P17" i="1"/>
  <c r="AF17" i="1"/>
  <c r="Q16" i="1"/>
  <c r="AF16" i="1"/>
  <c r="P16" i="1"/>
  <c r="AD15" i="1"/>
  <c r="Q15" i="1"/>
  <c r="P15" i="1"/>
  <c r="AF15" i="1"/>
  <c r="Q14" i="1"/>
  <c r="AF14" i="1"/>
  <c r="P19" i="1"/>
  <c r="AD19" i="1"/>
  <c r="Q19" i="1"/>
  <c r="AF19" i="1"/>
  <c r="AF9" i="1"/>
  <c r="Q9" i="1"/>
  <c r="AD9" i="1"/>
  <c r="AF20" i="1"/>
  <c r="AD20" i="1"/>
  <c r="P20" i="1"/>
  <c r="Q20" i="1"/>
  <c r="Q13" i="1"/>
  <c r="AF13" i="1"/>
  <c r="AD13" i="1"/>
  <c r="AD8" i="1"/>
  <c r="AF8" i="1"/>
  <c r="AD11" i="1"/>
  <c r="AF11" i="1"/>
  <c r="Q11" i="1"/>
  <c r="AD10" i="1"/>
  <c r="AF10" i="1"/>
  <c r="AD6" i="1"/>
  <c r="AF6" i="1"/>
  <c r="P6" i="1"/>
  <c r="Q10" i="1"/>
  <c r="Q6" i="1"/>
  <c r="Q5" i="1"/>
  <c r="AD17" i="1"/>
  <c r="AD16" i="1"/>
  <c r="Q17" i="1"/>
  <c r="P13" i="1"/>
  <c r="P14" i="1"/>
  <c r="AD14" i="1"/>
  <c r="P8" i="1"/>
  <c r="P11" i="1"/>
  <c r="P5" i="1"/>
  <c r="Q4" i="1"/>
  <c r="AD4" i="1"/>
  <c r="AD3" i="1"/>
  <c r="Q2" i="1"/>
  <c r="P2" i="1"/>
  <c r="P4" i="1"/>
  <c r="P3" i="1"/>
  <c r="R21" i="1" l="1"/>
  <c r="AF21" i="1"/>
  <c r="AD21" i="1"/>
  <c r="P21" i="1"/>
  <c r="P12" i="1"/>
  <c r="AF12" i="1"/>
  <c r="AD12" i="1"/>
  <c r="Q12" i="1"/>
  <c r="R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Petr</author>
  </authors>
  <commentList>
    <comment ref="B27" authorId="0" shapeId="0" xr:uid="{C0F1CB5C-85B8-4D2B-A157-FBA3AB3C945D}">
      <text>
        <r>
          <rPr>
            <b/>
            <sz val="9"/>
            <color indexed="81"/>
            <rFont val="Tahoma"/>
            <family val="2"/>
            <charset val="238"/>
          </rPr>
          <t>Petr:</t>
        </r>
        <r>
          <rPr>
            <sz val="9"/>
            <color indexed="81"/>
            <rFont val="Tahoma"/>
            <family val="2"/>
            <charset val="238"/>
          </rPr>
          <t xml:space="preserve">
Vyber vhodný MPPT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B9C8A7-2CE2-412C-8183-6D799AFC08AA}" keepAlive="1" name="Dotaz – Tabulka1" description="Připojení k dotazu produktu Tabulka1 v sešitě" type="5" refreshedVersion="8" background="1" saveData="1">
    <dbPr connection="Provider=Microsoft.Mashup.OleDb.1;Data Source=$Workbook$;Location=Tabulka1;Extended Properties=&quot;&quot;" command="SELECT * FROM [Tabulka1]"/>
  </connection>
</connections>
</file>

<file path=xl/sharedStrings.xml><?xml version="1.0" encoding="utf-8"?>
<sst xmlns="http://schemas.openxmlformats.org/spreadsheetml/2006/main" count="224" uniqueCount="164">
  <si>
    <t>Suntech STP305S-20/Wfhb</t>
  </si>
  <si>
    <t>Rozměr</t>
  </si>
  <si>
    <t>Účinnost %</t>
  </si>
  <si>
    <t>Počet panelů</t>
  </si>
  <si>
    <t>Nominální proud Imp [A]</t>
  </si>
  <si>
    <t>Zkratový proud Isc [A]</t>
  </si>
  <si>
    <t>Název - STC (STC)</t>
  </si>
  <si>
    <t>Suntech STP360S-B60/Wnhb</t>
  </si>
  <si>
    <t>Suntech STP400S-C54/Umhb</t>
  </si>
  <si>
    <t>Wp m2</t>
  </si>
  <si>
    <t>Pož počet panelů Ks</t>
  </si>
  <si>
    <t>Výkon Wp</t>
  </si>
  <si>
    <t>AIKO-A500-MAH60Mb</t>
  </si>
  <si>
    <t>Napětí na prázdno Voc (Uoc) [V]</t>
  </si>
  <si>
    <t>nominální napětí Vmp (Ump) [V]</t>
  </si>
  <si>
    <t>Cena / kus</t>
  </si>
  <si>
    <t>Cena celkem</t>
  </si>
  <si>
    <t>JINKO JKM435N-54HL4R-B</t>
  </si>
  <si>
    <t>Wp výsledný na střeše</t>
  </si>
  <si>
    <t>JA SOLAR JAM54S31-395/MR</t>
  </si>
  <si>
    <t>AIK0-A450-MAH54Db</t>
  </si>
  <si>
    <t>Trina Solar TSM-420DE09R.05</t>
  </si>
  <si>
    <t>AIKO-A440-MAH54Mb</t>
  </si>
  <si>
    <t>Growatt SPF 5000ES</t>
  </si>
  <si>
    <t>výkon W</t>
  </si>
  <si>
    <t>max DC od panelů [V]</t>
  </si>
  <si>
    <t>120 - 430</t>
  </si>
  <si>
    <t>spínání MPPT  [V]</t>
  </si>
  <si>
    <t>nabíječka [A]</t>
  </si>
  <si>
    <t>Max [A]</t>
  </si>
  <si>
    <t>Trina Solar TSM-490NEG18R.28</t>
  </si>
  <si>
    <t>DAH Solar DHM-60L9-380W</t>
  </si>
  <si>
    <t>DAH Solar DHN-60X16/FS (BB)</t>
  </si>
  <si>
    <t>Trina Solar TSM-440NEG9R.25</t>
  </si>
  <si>
    <t>Trina Solar TSM-450NEG9R.25</t>
  </si>
  <si>
    <t>Trina Solar TSM-435NEG9R.28</t>
  </si>
  <si>
    <t>Kombinovaný svodič přepětí - Citel DS60VGPV-500</t>
  </si>
  <si>
    <t>Saltek FLP-PV550 V/U</t>
  </si>
  <si>
    <t>Stejnosměrný jistič Schneider C60PV-DC B 16A - A9N61651</t>
  </si>
  <si>
    <t>Jistič Schneider iC60H - A9F06225</t>
  </si>
  <si>
    <t>Stykač Schneider iCT - A9C20842</t>
  </si>
  <si>
    <t>+</t>
  </si>
  <si>
    <t>Signalizační kontakt Acti9 iOF, 2-100 mA, svorky shora - A9A26915</t>
  </si>
  <si>
    <t>pro odpojení FV od sítě</t>
  </si>
  <si>
    <t>Vypínač iSW do 32 A - A9S60232</t>
  </si>
  <si>
    <t>Saltek Svodič přepětí FLP-12,5 V/3</t>
  </si>
  <si>
    <t>REPT CB75 314Ah - LiFePO4 - 3.2V grade A</t>
  </si>
  <si>
    <t>https://eu.nkon.nl/rechargeable/lifepo4/prismatisch/rept-cb75-314ah-lifepo4-3-2v-grade-a.html</t>
  </si>
  <si>
    <t>https://www.mivvyenergy.cz/cs/bms-a-balancery/bms-s-aktivnim-balancerem-smart-8s-20s-200a-32v-jikong.html</t>
  </si>
  <si>
    <t>Kabel od panelů do střídače</t>
  </si>
  <si>
    <t>od rozvaděče do střídače CYKY-J 3 × 4 mm2 (CYKY-J 5 × 4 mm2 )</t>
  </si>
  <si>
    <t>chránička 50mm</t>
  </si>
  <si>
    <t>Solární kabel PV1-F 6mm2, 1kV - černý</t>
  </si>
  <si>
    <t>Solární kabel PV1-F 6mm2, 1kV - červený</t>
  </si>
  <si>
    <t>vnější průměr 6,5mm</t>
  </si>
  <si>
    <t>https://www.mivvyenergy.cz/cs/bms-a-balancery/bms-pro-clanky-lifepo4/bms-8s-20s-lifepo4-200a-36v-smart-bluetooth.html</t>
  </si>
  <si>
    <t>150 - 430</t>
  </si>
  <si>
    <t>spotřeba pohotovostní 2W</t>
  </si>
  <si>
    <t>účinnost %</t>
  </si>
  <si>
    <t>vlastní spotřeba W</t>
  </si>
  <si>
    <t>MUST PV1800 PRO 48V 5200W (PH18-5248 PRO)</t>
  </si>
  <si>
    <t>MUST PV1800 VHM (PV18-5048 VHM)</t>
  </si>
  <si>
    <t>30 - 130</t>
  </si>
  <si>
    <t>Axpert King II 48V 5000W</t>
  </si>
  <si>
    <t>https://tienda-solar.es/en/inverters/1252-solar-inverter-axpert-king-ll-5000-48v</t>
  </si>
  <si>
    <t>Axpert VM IV 48V 5600W</t>
  </si>
  <si>
    <t>120 - 450</t>
  </si>
  <si>
    <t>Axpert VM III 48V 5000W PF1</t>
  </si>
  <si>
    <t>min doporučené napětí FVE [V]</t>
  </si>
  <si>
    <t>https://tienda-solar.es/en/inverters/904-solar-inverter-charger-axpert-vm-iii-5000-48v</t>
  </si>
  <si>
    <t>Axpert MKS III 5000-48V</t>
  </si>
  <si>
    <t>https://tienda-solar.es/en/inverters/1862-solar-inverter-charger-axpert-mks-iii-5000-48v</t>
  </si>
  <si>
    <t>Axpert MKS IV TWIN 6.0Kw 48</t>
  </si>
  <si>
    <t>https://www.solarpower24.it/prodotto/voltronic-axpert-mks-iv-twin-6-0kw-48-volt-6000-48-inverter-solare-isola-off-grid/</t>
  </si>
  <si>
    <t>Jistič ETIMAT 10 DC 2p C 63A 6kA 002138722</t>
  </si>
  <si>
    <t>pojistkový odpínač OEZ - OPVP22-2 - 22x58</t>
  </si>
  <si>
    <t>Axpert MAX 8000</t>
  </si>
  <si>
    <t>90 - 450</t>
  </si>
  <si>
    <t>taratech.cz</t>
  </si>
  <si>
    <t>https://shop.kavoj.cz/vpu-pv-i-ii-3-600-e/</t>
  </si>
  <si>
    <t>https://shop.kavoj.cz/wsi-25-2-10x38-1kv/</t>
  </si>
  <si>
    <t>Svodič přepětí Weidmüller  VPU PV I+II 3 600 E</t>
  </si>
  <si>
    <t>pojistkový odpínač weidmüller WSI 25/2 10X38 1KV</t>
  </si>
  <si>
    <t>Přepěťová ochrana VPU I 3 280V/12,5KA WEIDMÜLLER 1352200000</t>
  </si>
  <si>
    <t>Elko HRN-55 Hlídací napěťové relé - 3 fázové AC 3x400V</t>
  </si>
  <si>
    <t>Schrack Instalační jistič 10 kA, B 2A, 3P</t>
  </si>
  <si>
    <t xml:space="preserve">002138722 Jistič ETIMAT 10-DC 2p C63 6kA, ETI </t>
  </si>
  <si>
    <t>https://www.elima.cz/c/305/jistice</t>
  </si>
  <si>
    <t>Pož. Výkon [W]</t>
  </si>
  <si>
    <t>Jikong Smart BMS – aktivní balancér 8S-20S 200A</t>
  </si>
  <si>
    <t>Celkové napětí na prázdno Voc (Uoc) [V]</t>
  </si>
  <si>
    <t>Celkové napětí na prázdno Voc (Uoc) [V] + 15%</t>
  </si>
  <si>
    <t>Pojistka válcová OEZ PV10 20A gG</t>
  </si>
  <si>
    <t>Ah</t>
  </si>
  <si>
    <t>kusů</t>
  </si>
  <si>
    <t>Pojistka válcová OEZ PV22 20A gG</t>
  </si>
  <si>
    <t>Svodič přepětí Mersen Typ 1+2, 5kA, 1000V DC, PV - STPT12-5K1000V-YPV</t>
  </si>
  <si>
    <t>Svodič přepětí CITEL DS240S-220DC 310211</t>
  </si>
  <si>
    <t>https://www.nkon.nl/en/envision-ess-4lh3l7-280ah-lifepo4-3-2v-a-grade.html</t>
  </si>
  <si>
    <t>Pojistkový odpínač OEZ OPVP10-1 10x38 1P + Pojistka válcová OEZ PV10 20A gG</t>
  </si>
  <si>
    <t>JBD BMS 8S-20S LiFePO4 200A 3,6V Smart Bluetooth</t>
  </si>
  <si>
    <t>16 x nvision ESS 4LH3L7 280Ah - LiFePO4 - 3.2V grade A - 14Kwh</t>
  </si>
  <si>
    <t>CYKY-J 5 × 4 mm2</t>
  </si>
  <si>
    <t>Solární kabel PV1-F 6mm2, 1kV - 20 metrů</t>
  </si>
  <si>
    <t>CYKY-J 5 × 4 mm2 - 7 metrů</t>
  </si>
  <si>
    <t>Kabel 50mm2 - 0.5 metru</t>
  </si>
  <si>
    <t>CYKY-J 5 × 4 mm2 - 0.5 metru</t>
  </si>
  <si>
    <t>Silový vodič H07V-U 6,00  6 mm2 - 0.5 metru</t>
  </si>
  <si>
    <t>Weidmüller 2591150000 VPU AC II 4 R 300/50 svodič přepětí 50 Ka</t>
  </si>
  <si>
    <t>Pojistka 10X38 20A 1000 VDC GPV</t>
  </si>
  <si>
    <t>Pojistkový odpínač OEZ - OPVP22-1 - 22x58 + Pojistka válcová OEZ PV22 20A gG</t>
  </si>
  <si>
    <t>kabel 10mm2 vnější průměr 7,5mm</t>
  </si>
  <si>
    <t>baterie Kwh</t>
  </si>
  <si>
    <t>EUR/ks</t>
  </si>
  <si>
    <t>cena celkem</t>
  </si>
  <si>
    <t>Cena kč</t>
  </si>
  <si>
    <t>Teor. Délka na střeše [m] (Maximální 6.3m)</t>
  </si>
  <si>
    <t>ELERIX ESM-580T</t>
  </si>
  <si>
    <t>Celkové nominální napětí Vmp (Ump) [V]</t>
  </si>
  <si>
    <t>JA SOLAR JAM72S20-465/MR</t>
  </si>
  <si>
    <t>Teor výška (maximální 3m)</t>
  </si>
  <si>
    <t>JINKO JKM450N-54HL4R-V</t>
  </si>
  <si>
    <t xml:space="preserve">Canadian Solar CS6R-420T </t>
  </si>
  <si>
    <t>Teplotní koeficient Voc [%/°C]</t>
  </si>
  <si>
    <t>Teplotní koeficient Isc [%/°C]</t>
  </si>
  <si>
    <t>Teplotní koeficient Pmax [%/°C]</t>
  </si>
  <si>
    <t>Canadian Solar CS6R-435T - řada N-type - TOPHiKu6</t>
  </si>
  <si>
    <t>°C</t>
  </si>
  <si>
    <t>Maximální počet stringů</t>
  </si>
  <si>
    <t>Maximální počet panelů v každém stringu</t>
  </si>
  <si>
    <t>Minimální počet panelů v každém stringu</t>
  </si>
  <si>
    <t>Optimální počet panelů v 1 poli</t>
  </si>
  <si>
    <t>Tracer5420AN</t>
  </si>
  <si>
    <t>V</t>
  </si>
  <si>
    <t>Nabíjecí proud</t>
  </si>
  <si>
    <t>A</t>
  </si>
  <si>
    <t>Max Voc</t>
  </si>
  <si>
    <t>Max Voc při 25°C</t>
  </si>
  <si>
    <t>Max Vmpp</t>
  </si>
  <si>
    <t>W</t>
  </si>
  <si>
    <t>Max výkon</t>
  </si>
  <si>
    <t>Maximální napětí na prázdno Voc (Uoc) [V]  v létě</t>
  </si>
  <si>
    <t>Maximální napětí na prázdno Voc (Uoc) [V]  v zimě</t>
  </si>
  <si>
    <t>Maximální Zkratový proud Isc [A] v létě</t>
  </si>
  <si>
    <t>Min Vmpp</t>
  </si>
  <si>
    <t>AIKO Neostar 2S-A500-MAH60Mb</t>
  </si>
  <si>
    <t>AIKO Neostar 2S-A445-MAH54Mb</t>
  </si>
  <si>
    <t>Název - STC</t>
  </si>
  <si>
    <t>Tracer5415AN</t>
  </si>
  <si>
    <t>Tracer6415AN</t>
  </si>
  <si>
    <t>Tracer8415AN</t>
  </si>
  <si>
    <t>Tracer10415AN</t>
  </si>
  <si>
    <t>Tracer10420AN</t>
  </si>
  <si>
    <t>Tracer6420AN</t>
  </si>
  <si>
    <t>Sloupec:</t>
  </si>
  <si>
    <t xml:space="preserve">Min teplota okolí </t>
  </si>
  <si>
    <t xml:space="preserve">Max teplota okolí </t>
  </si>
  <si>
    <t>String 1 (1,2,3,7)</t>
  </si>
  <si>
    <t>2S2P - Tracer5415AN</t>
  </si>
  <si>
    <t>AIK0 Neostar 2P-A470-MAH54Mw</t>
  </si>
  <si>
    <t>String 2 ( 4,8)</t>
  </si>
  <si>
    <t>1S2P - Tracer5415AN</t>
  </si>
  <si>
    <t>String 3 (5,6,9)</t>
  </si>
  <si>
    <t>1S3P - Tracer5420AN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</si>
</sst>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0" xfId="0" applyFill="1"/>
    <xf numFmtId="164" fontId="0" fillId="2" borderId="0" xfId="0" applyNumberFormat="1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wrapText="1"/>
    </xf>
    <xf numFmtId="0" fontId="1" fillId="0" borderId="0" xfId="0" applyFont="1"/>
    <xf numFmtId="0" fontId="2" fillId="0" borderId="0" xfId="1"/>
    <xf numFmtId="2" fontId="0" fillId="0" borderId="0" xfId="0" applyNumberFormat="1"/>
    <xf numFmtId="2" fontId="0" fillId="2" borderId="0" xfId="0" applyNumberFormat="1" applyFill="1"/>
    <xf numFmtId="165" fontId="0" fillId="0" borderId="0" xfId="0" applyNumberFormat="1"/>
    <xf numFmtId="165" fontId="0" fillId="2" borderId="0" xfId="0" applyNumberFormat="1" applyFill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horizontal="center" vertical="center" wrapText="1"/>
    </xf>
    <xf numFmtId="0" fontId="0" fillId="0" borderId="0" xfId="0" applyFill="1"/>
    <xf numFmtId="164" fontId="0" fillId="0" borderId="0" xfId="0" applyNumberFormat="1" applyFill="1"/>
    <xf numFmtId="2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76200</xdr:colOff>
      <xdr:row>24</xdr:row>
      <xdr:rowOff>15240</xdr:rowOff>
    </xdr:from>
    <xdr:to>
      <xdr:col>14</xdr:col>
      <xdr:colOff>80525</xdr:colOff>
      <xdr:row>36</xdr:row>
      <xdr:rowOff>180987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7D7C97A-AD4B-34C4-9A1C-3E0CCC8AB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13620" y="5135880"/>
          <a:ext cx="3997205" cy="23907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82</xdr:row>
      <xdr:rowOff>0</xdr:rowOff>
    </xdr:from>
    <xdr:to>
      <xdr:col>5</xdr:col>
      <xdr:colOff>714375</xdr:colOff>
      <xdr:row>82</xdr:row>
      <xdr:rowOff>19050</xdr:rowOff>
    </xdr:to>
    <xdr:cxnSp macro="">
      <xdr:nvCxnSpPr>
        <xdr:cNvPr id="2" name="Přímá spojnice 1">
          <a:extLst>
            <a:ext uri="{FF2B5EF4-FFF2-40B4-BE49-F238E27FC236}">
              <a16:creationId xmlns:a16="http://schemas.microsoft.com/office/drawing/2014/main" id="{38BCDC46-91EE-425E-91B2-9860FDDC8382}"/>
            </a:ext>
          </a:extLst>
        </xdr:cNvPr>
        <xdr:cNvCxnSpPr/>
      </xdr:nvCxnSpPr>
      <xdr:spPr>
        <a:xfrm>
          <a:off x="6427470" y="24353520"/>
          <a:ext cx="771525" cy="190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695325</xdr:colOff>
      <xdr:row>79</xdr:row>
      <xdr:rowOff>9525</xdr:rowOff>
    </xdr:to>
    <xdr:cxnSp macro="">
      <xdr:nvCxnSpPr>
        <xdr:cNvPr id="3" name="Přímá spojnice 2">
          <a:extLst>
            <a:ext uri="{FF2B5EF4-FFF2-40B4-BE49-F238E27FC236}">
              <a16:creationId xmlns:a16="http://schemas.microsoft.com/office/drawing/2014/main" id="{C6783461-BC55-421F-B0DC-C81871892E61}"/>
            </a:ext>
          </a:extLst>
        </xdr:cNvPr>
        <xdr:cNvCxnSpPr/>
      </xdr:nvCxnSpPr>
      <xdr:spPr>
        <a:xfrm>
          <a:off x="6484620" y="23804880"/>
          <a:ext cx="69532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82</xdr:row>
      <xdr:rowOff>0</xdr:rowOff>
    </xdr:from>
    <xdr:to>
      <xdr:col>4</xdr:col>
      <xdr:colOff>409575</xdr:colOff>
      <xdr:row>82</xdr:row>
      <xdr:rowOff>9525</xdr:rowOff>
    </xdr:to>
    <xdr:cxnSp macro="">
      <xdr:nvCxnSpPr>
        <xdr:cNvPr id="4" name="Přímá spojnice 3">
          <a:extLst>
            <a:ext uri="{FF2B5EF4-FFF2-40B4-BE49-F238E27FC236}">
              <a16:creationId xmlns:a16="http://schemas.microsoft.com/office/drawing/2014/main" id="{C5F3CAEA-9A41-405C-A921-306F6AFA90A0}"/>
            </a:ext>
          </a:extLst>
        </xdr:cNvPr>
        <xdr:cNvCxnSpPr/>
      </xdr:nvCxnSpPr>
      <xdr:spPr>
        <a:xfrm flipV="1">
          <a:off x="5036820" y="24353520"/>
          <a:ext cx="904875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78</xdr:row>
      <xdr:rowOff>180975</xdr:rowOff>
    </xdr:from>
    <xdr:to>
      <xdr:col>4</xdr:col>
      <xdr:colOff>333375</xdr:colOff>
      <xdr:row>79</xdr:row>
      <xdr:rowOff>0</xdr:rowOff>
    </xdr:to>
    <xdr:cxnSp macro="">
      <xdr:nvCxnSpPr>
        <xdr:cNvPr id="5" name="Přímá spojnice 4">
          <a:extLst>
            <a:ext uri="{FF2B5EF4-FFF2-40B4-BE49-F238E27FC236}">
              <a16:creationId xmlns:a16="http://schemas.microsoft.com/office/drawing/2014/main" id="{01F1A71D-F7D1-4F26-AFBA-77351E695B27}"/>
            </a:ext>
          </a:extLst>
        </xdr:cNvPr>
        <xdr:cNvCxnSpPr/>
      </xdr:nvCxnSpPr>
      <xdr:spPr>
        <a:xfrm flipV="1">
          <a:off x="5008245" y="23802975"/>
          <a:ext cx="857250" cy="190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2057400</xdr:colOff>
      <xdr:row>79</xdr:row>
      <xdr:rowOff>9525</xdr:rowOff>
    </xdr:from>
    <xdr:to>
      <xdr:col>1</xdr:col>
      <xdr:colOff>200025</xdr:colOff>
      <xdr:row>79</xdr:row>
      <xdr:rowOff>9525</xdr:rowOff>
    </xdr:to>
    <xdr:cxnSp macro="">
      <xdr:nvCxnSpPr>
        <xdr:cNvPr id="6" name="Přímá spojnice 5">
          <a:extLst>
            <a:ext uri="{FF2B5EF4-FFF2-40B4-BE49-F238E27FC236}">
              <a16:creationId xmlns:a16="http://schemas.microsoft.com/office/drawing/2014/main" id="{0D810156-BF8D-4EF6-995A-8EB6652B1B4B}"/>
            </a:ext>
          </a:extLst>
        </xdr:cNvPr>
        <xdr:cNvCxnSpPr/>
      </xdr:nvCxnSpPr>
      <xdr:spPr>
        <a:xfrm>
          <a:off x="2057400" y="23814405"/>
          <a:ext cx="1411605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2105025</xdr:colOff>
      <xdr:row>81</xdr:row>
      <xdr:rowOff>180975</xdr:rowOff>
    </xdr:from>
    <xdr:to>
      <xdr:col>1</xdr:col>
      <xdr:colOff>590550</xdr:colOff>
      <xdr:row>82</xdr:row>
      <xdr:rowOff>19050</xdr:rowOff>
    </xdr:to>
    <xdr:cxnSp macro="">
      <xdr:nvCxnSpPr>
        <xdr:cNvPr id="7" name="Přímá spojnice 6">
          <a:extLst>
            <a:ext uri="{FF2B5EF4-FFF2-40B4-BE49-F238E27FC236}">
              <a16:creationId xmlns:a16="http://schemas.microsoft.com/office/drawing/2014/main" id="{9E6E994B-E4AB-4DBB-850C-71C14D18AD6F}"/>
            </a:ext>
          </a:extLst>
        </xdr:cNvPr>
        <xdr:cNvCxnSpPr/>
      </xdr:nvCxnSpPr>
      <xdr:spPr>
        <a:xfrm>
          <a:off x="2105025" y="24351615"/>
          <a:ext cx="1754505" cy="2095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438150</xdr:colOff>
      <xdr:row>71</xdr:row>
      <xdr:rowOff>57150</xdr:rowOff>
    </xdr:from>
    <xdr:to>
      <xdr:col>9</xdr:col>
      <xdr:colOff>66675</xdr:colOff>
      <xdr:row>71</xdr:row>
      <xdr:rowOff>66675</xdr:rowOff>
    </xdr:to>
    <xdr:cxnSp macro="">
      <xdr:nvCxnSpPr>
        <xdr:cNvPr id="8" name="Přímá spojnice 7">
          <a:extLst>
            <a:ext uri="{FF2B5EF4-FFF2-40B4-BE49-F238E27FC236}">
              <a16:creationId xmlns:a16="http://schemas.microsoft.com/office/drawing/2014/main" id="{A3D42EF0-A8A5-441B-B3ED-937EDBE5A5D4}"/>
            </a:ext>
          </a:extLst>
        </xdr:cNvPr>
        <xdr:cNvCxnSpPr/>
      </xdr:nvCxnSpPr>
      <xdr:spPr>
        <a:xfrm flipV="1">
          <a:off x="7943850" y="22398990"/>
          <a:ext cx="1960245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69</xdr:row>
      <xdr:rowOff>19050</xdr:rowOff>
    </xdr:from>
    <xdr:to>
      <xdr:col>9</xdr:col>
      <xdr:colOff>85725</xdr:colOff>
      <xdr:row>69</xdr:row>
      <xdr:rowOff>28575</xdr:rowOff>
    </xdr:to>
    <xdr:cxnSp macro="">
      <xdr:nvCxnSpPr>
        <xdr:cNvPr id="9" name="Přímá spojnice 8">
          <a:extLst>
            <a:ext uri="{FF2B5EF4-FFF2-40B4-BE49-F238E27FC236}">
              <a16:creationId xmlns:a16="http://schemas.microsoft.com/office/drawing/2014/main" id="{24CE12D3-2FD0-4707-87CE-1CEE9A3B7921}"/>
            </a:ext>
          </a:extLst>
        </xdr:cNvPr>
        <xdr:cNvCxnSpPr/>
      </xdr:nvCxnSpPr>
      <xdr:spPr>
        <a:xfrm flipV="1">
          <a:off x="7991475" y="21995130"/>
          <a:ext cx="1931670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981075</xdr:colOff>
      <xdr:row>69</xdr:row>
      <xdr:rowOff>47625</xdr:rowOff>
    </xdr:from>
    <xdr:to>
      <xdr:col>6</xdr:col>
      <xdr:colOff>400050</xdr:colOff>
      <xdr:row>69</xdr:row>
      <xdr:rowOff>57150</xdr:rowOff>
    </xdr:to>
    <xdr:cxnSp macro="">
      <xdr:nvCxnSpPr>
        <xdr:cNvPr id="10" name="Přímá spojnice 9">
          <a:extLst>
            <a:ext uri="{FF2B5EF4-FFF2-40B4-BE49-F238E27FC236}">
              <a16:creationId xmlns:a16="http://schemas.microsoft.com/office/drawing/2014/main" id="{726A4456-272B-4656-BE23-DC0E2AFEE4D6}"/>
            </a:ext>
          </a:extLst>
        </xdr:cNvPr>
        <xdr:cNvCxnSpPr/>
      </xdr:nvCxnSpPr>
      <xdr:spPr>
        <a:xfrm>
          <a:off x="7465695" y="22023705"/>
          <a:ext cx="44005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895350</xdr:colOff>
      <xdr:row>71</xdr:row>
      <xdr:rowOff>95250</xdr:rowOff>
    </xdr:from>
    <xdr:to>
      <xdr:col>6</xdr:col>
      <xdr:colOff>457200</xdr:colOff>
      <xdr:row>71</xdr:row>
      <xdr:rowOff>104775</xdr:rowOff>
    </xdr:to>
    <xdr:cxnSp macro="">
      <xdr:nvCxnSpPr>
        <xdr:cNvPr id="11" name="Přímá spojnice 10">
          <a:extLst>
            <a:ext uri="{FF2B5EF4-FFF2-40B4-BE49-F238E27FC236}">
              <a16:creationId xmlns:a16="http://schemas.microsoft.com/office/drawing/2014/main" id="{D765BAE6-9F6F-486C-8060-8CFDD825507E}"/>
            </a:ext>
          </a:extLst>
        </xdr:cNvPr>
        <xdr:cNvCxnSpPr/>
      </xdr:nvCxnSpPr>
      <xdr:spPr>
        <a:xfrm>
          <a:off x="7379970" y="22437090"/>
          <a:ext cx="58293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1485900</xdr:colOff>
      <xdr:row>67</xdr:row>
      <xdr:rowOff>28575</xdr:rowOff>
    </xdr:from>
    <xdr:to>
      <xdr:col>2</xdr:col>
      <xdr:colOff>152400</xdr:colOff>
      <xdr:row>73</xdr:row>
      <xdr:rowOff>19050</xdr:rowOff>
    </xdr:to>
    <xdr:sp macro="" textlink="">
      <xdr:nvSpPr>
        <xdr:cNvPr id="12" name="Obdélník 11">
          <a:extLst>
            <a:ext uri="{FF2B5EF4-FFF2-40B4-BE49-F238E27FC236}">
              <a16:creationId xmlns:a16="http://schemas.microsoft.com/office/drawing/2014/main" id="{F7A7D456-2335-433D-86A9-386FCD3983FD}"/>
            </a:ext>
          </a:extLst>
        </xdr:cNvPr>
        <xdr:cNvSpPr/>
      </xdr:nvSpPr>
      <xdr:spPr>
        <a:xfrm>
          <a:off x="1485900" y="21638895"/>
          <a:ext cx="3093720" cy="10877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FVE</a:t>
          </a:r>
        </a:p>
      </xdr:txBody>
    </xdr:sp>
    <xdr:clientData/>
  </xdr:twoCellAnchor>
  <xdr:twoCellAnchor>
    <xdr:from>
      <xdr:col>2</xdr:col>
      <xdr:colOff>152400</xdr:colOff>
      <xdr:row>69</xdr:row>
      <xdr:rowOff>47625</xdr:rowOff>
    </xdr:from>
    <xdr:to>
      <xdr:col>5</xdr:col>
      <xdr:colOff>190500</xdr:colOff>
      <xdr:row>69</xdr:row>
      <xdr:rowOff>57150</xdr:rowOff>
    </xdr:to>
    <xdr:cxnSp macro="">
      <xdr:nvCxnSpPr>
        <xdr:cNvPr id="13" name="Přímá spojnice 12">
          <a:extLst>
            <a:ext uri="{FF2B5EF4-FFF2-40B4-BE49-F238E27FC236}">
              <a16:creationId xmlns:a16="http://schemas.microsoft.com/office/drawing/2014/main" id="{FC52459B-2F3E-4508-8DB3-F68B184E9E71}"/>
            </a:ext>
          </a:extLst>
        </xdr:cNvPr>
        <xdr:cNvCxnSpPr/>
      </xdr:nvCxnSpPr>
      <xdr:spPr>
        <a:xfrm flipV="1">
          <a:off x="4579620" y="22023705"/>
          <a:ext cx="2095500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161925</xdr:colOff>
      <xdr:row>71</xdr:row>
      <xdr:rowOff>57150</xdr:rowOff>
    </xdr:from>
    <xdr:to>
      <xdr:col>5</xdr:col>
      <xdr:colOff>152400</xdr:colOff>
      <xdr:row>71</xdr:row>
      <xdr:rowOff>76200</xdr:rowOff>
    </xdr:to>
    <xdr:cxnSp macro="">
      <xdr:nvCxnSpPr>
        <xdr:cNvPr id="14" name="Přímá spojnice 13">
          <a:extLst>
            <a:ext uri="{FF2B5EF4-FFF2-40B4-BE49-F238E27FC236}">
              <a16:creationId xmlns:a16="http://schemas.microsoft.com/office/drawing/2014/main" id="{F9877A42-C63F-4D2C-8CC7-19EA3F3DF657}"/>
            </a:ext>
          </a:extLst>
        </xdr:cNvPr>
        <xdr:cNvCxnSpPr/>
      </xdr:nvCxnSpPr>
      <xdr:spPr>
        <a:xfrm flipV="1">
          <a:off x="4589145" y="22398990"/>
          <a:ext cx="2047875" cy="190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104775</xdr:colOff>
      <xdr:row>67</xdr:row>
      <xdr:rowOff>28574</xdr:rowOff>
    </xdr:from>
    <xdr:to>
      <xdr:col>5</xdr:col>
      <xdr:colOff>981075</xdr:colOff>
      <xdr:row>72</xdr:row>
      <xdr:rowOff>190499</xdr:rowOff>
    </xdr:to>
    <xdr:sp macro="" textlink="">
      <xdr:nvSpPr>
        <xdr:cNvPr id="15" name="Obdélník 14">
          <a:extLst>
            <a:ext uri="{FF2B5EF4-FFF2-40B4-BE49-F238E27FC236}">
              <a16:creationId xmlns:a16="http://schemas.microsoft.com/office/drawing/2014/main" id="{E7D4B713-F75B-4597-9918-A22D7068E39C}"/>
            </a:ext>
          </a:extLst>
        </xdr:cNvPr>
        <xdr:cNvSpPr/>
      </xdr:nvSpPr>
      <xdr:spPr>
        <a:xfrm>
          <a:off x="6589395" y="21638894"/>
          <a:ext cx="876300" cy="1068705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Svodič přepětí Weidmüller  VPU PV I+II 3 600 E</a:t>
          </a:r>
        </a:p>
      </xdr:txBody>
    </xdr:sp>
    <xdr:clientData/>
  </xdr:twoCellAnchor>
  <xdr:twoCellAnchor>
    <xdr:from>
      <xdr:col>6</xdr:col>
      <xdr:colOff>342900</xdr:colOff>
      <xdr:row>67</xdr:row>
      <xdr:rowOff>38100</xdr:rowOff>
    </xdr:from>
    <xdr:to>
      <xdr:col>7</xdr:col>
      <xdr:colOff>790575</xdr:colOff>
      <xdr:row>73</xdr:row>
      <xdr:rowOff>38100</xdr:rowOff>
    </xdr:to>
    <xdr:sp macro="" textlink="">
      <xdr:nvSpPr>
        <xdr:cNvPr id="16" name="Obdélník 15">
          <a:extLst>
            <a:ext uri="{FF2B5EF4-FFF2-40B4-BE49-F238E27FC236}">
              <a16:creationId xmlns:a16="http://schemas.microsoft.com/office/drawing/2014/main" id="{BC1DD588-857F-4B02-83FC-17FB2609BE70}"/>
            </a:ext>
          </a:extLst>
        </xdr:cNvPr>
        <xdr:cNvSpPr/>
      </xdr:nvSpPr>
      <xdr:spPr>
        <a:xfrm>
          <a:off x="7848600" y="21648420"/>
          <a:ext cx="1331595" cy="109728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cs-CZ" sz="1100"/>
            <a:t>Pojistkový odpínač weidmüller WSI 25/2 10X38 1KV </a:t>
          </a:r>
        </a:p>
        <a:p>
          <a:pPr algn="ctr"/>
          <a:r>
            <a:rPr lang="cs-CZ" sz="1100"/>
            <a:t>+</a:t>
          </a:r>
        </a:p>
        <a:p>
          <a:pPr algn="l"/>
          <a:r>
            <a:rPr lang="cs-CZ" sz="1100"/>
            <a:t>FUSE 10X38 20A 1000 VDC GPV</a:t>
          </a:r>
        </a:p>
      </xdr:txBody>
    </xdr:sp>
    <xdr:clientData/>
  </xdr:twoCellAnchor>
  <xdr:twoCellAnchor>
    <xdr:from>
      <xdr:col>0</xdr:col>
      <xdr:colOff>1524000</xdr:colOff>
      <xdr:row>78</xdr:row>
      <xdr:rowOff>38100</xdr:rowOff>
    </xdr:from>
    <xdr:to>
      <xdr:col>0</xdr:col>
      <xdr:colOff>2181225</xdr:colOff>
      <xdr:row>83</xdr:row>
      <xdr:rowOff>0</xdr:rowOff>
    </xdr:to>
    <xdr:sp macro="" textlink="">
      <xdr:nvSpPr>
        <xdr:cNvPr id="17" name="Obdélník 16">
          <a:extLst>
            <a:ext uri="{FF2B5EF4-FFF2-40B4-BE49-F238E27FC236}">
              <a16:creationId xmlns:a16="http://schemas.microsoft.com/office/drawing/2014/main" id="{3157D942-8D40-43A6-B6C5-39E5F2ABAD59}"/>
            </a:ext>
          </a:extLst>
        </xdr:cNvPr>
        <xdr:cNvSpPr/>
      </xdr:nvSpPr>
      <xdr:spPr>
        <a:xfrm>
          <a:off x="1524000" y="23660100"/>
          <a:ext cx="657225" cy="876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Veřejná síť</a:t>
          </a:r>
        </a:p>
      </xdr:txBody>
    </xdr:sp>
    <xdr:clientData/>
  </xdr:twoCellAnchor>
  <xdr:twoCellAnchor>
    <xdr:from>
      <xdr:col>4</xdr:col>
      <xdr:colOff>295275</xdr:colOff>
      <xdr:row>78</xdr:row>
      <xdr:rowOff>47625</xdr:rowOff>
    </xdr:from>
    <xdr:to>
      <xdr:col>5</xdr:col>
      <xdr:colOff>285750</xdr:colOff>
      <xdr:row>83</xdr:row>
      <xdr:rowOff>9525</xdr:rowOff>
    </xdr:to>
    <xdr:sp macro="" textlink="">
      <xdr:nvSpPr>
        <xdr:cNvPr id="18" name="Obdélník 17">
          <a:extLst>
            <a:ext uri="{FF2B5EF4-FFF2-40B4-BE49-F238E27FC236}">
              <a16:creationId xmlns:a16="http://schemas.microsoft.com/office/drawing/2014/main" id="{B0EDBF2B-269D-4E6A-AB4E-35206CFF1150}"/>
            </a:ext>
          </a:extLst>
        </xdr:cNvPr>
        <xdr:cNvSpPr/>
      </xdr:nvSpPr>
      <xdr:spPr>
        <a:xfrm>
          <a:off x="5827395" y="23669625"/>
          <a:ext cx="942975" cy="876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Saltek Svodič přepětí FLP-12,5 V/3</a:t>
          </a:r>
        </a:p>
      </xdr:txBody>
    </xdr:sp>
    <xdr:clientData/>
  </xdr:twoCellAnchor>
  <xdr:twoCellAnchor>
    <xdr:from>
      <xdr:col>7</xdr:col>
      <xdr:colOff>352425</xdr:colOff>
      <xdr:row>71</xdr:row>
      <xdr:rowOff>171451</xdr:rowOff>
    </xdr:from>
    <xdr:to>
      <xdr:col>9</xdr:col>
      <xdr:colOff>0</xdr:colOff>
      <xdr:row>79</xdr:row>
      <xdr:rowOff>123826</xdr:rowOff>
    </xdr:to>
    <xdr:cxnSp macro="">
      <xdr:nvCxnSpPr>
        <xdr:cNvPr id="19" name="Spojnice: pravoúhlá 18">
          <a:extLst>
            <a:ext uri="{FF2B5EF4-FFF2-40B4-BE49-F238E27FC236}">
              <a16:creationId xmlns:a16="http://schemas.microsoft.com/office/drawing/2014/main" id="{8C26C99F-67B9-407F-A3E9-BB2A33E4742D}"/>
            </a:ext>
          </a:extLst>
        </xdr:cNvPr>
        <xdr:cNvCxnSpPr/>
      </xdr:nvCxnSpPr>
      <xdr:spPr>
        <a:xfrm rot="5400000" flipH="1" flipV="1">
          <a:off x="8582025" y="22673311"/>
          <a:ext cx="1415415" cy="1095375"/>
        </a:xfrm>
        <a:prstGeom prst="bentConnector3">
          <a:avLst>
            <a:gd name="adj1" fmla="val 10000"/>
          </a:avLst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790581</xdr:colOff>
      <xdr:row>71</xdr:row>
      <xdr:rowOff>133350</xdr:rowOff>
    </xdr:from>
    <xdr:to>
      <xdr:col>9</xdr:col>
      <xdr:colOff>161931</xdr:colOff>
      <xdr:row>81</xdr:row>
      <xdr:rowOff>161925</xdr:rowOff>
    </xdr:to>
    <xdr:cxnSp macro="">
      <xdr:nvCxnSpPr>
        <xdr:cNvPr id="20" name="Spojnice: pravoúhlá 19">
          <a:extLst>
            <a:ext uri="{FF2B5EF4-FFF2-40B4-BE49-F238E27FC236}">
              <a16:creationId xmlns:a16="http://schemas.microsoft.com/office/drawing/2014/main" id="{DB2D5281-A32A-4329-98EF-1CF051040C2D}"/>
            </a:ext>
          </a:extLst>
        </xdr:cNvPr>
        <xdr:cNvCxnSpPr/>
      </xdr:nvCxnSpPr>
      <xdr:spPr>
        <a:xfrm rot="5400000" flipH="1" flipV="1">
          <a:off x="8661088" y="22994303"/>
          <a:ext cx="1857375" cy="819150"/>
        </a:xfrm>
        <a:prstGeom prst="bentConnector3">
          <a:avLst>
            <a:gd name="adj1" fmla="val -246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79</xdr:row>
      <xdr:rowOff>9525</xdr:rowOff>
    </xdr:from>
    <xdr:to>
      <xdr:col>7</xdr:col>
      <xdr:colOff>314325</xdr:colOff>
      <xdr:row>79</xdr:row>
      <xdr:rowOff>19050</xdr:rowOff>
    </xdr:to>
    <xdr:cxnSp macro="">
      <xdr:nvCxnSpPr>
        <xdr:cNvPr id="21" name="Přímá spojnice 20">
          <a:extLst>
            <a:ext uri="{FF2B5EF4-FFF2-40B4-BE49-F238E27FC236}">
              <a16:creationId xmlns:a16="http://schemas.microsoft.com/office/drawing/2014/main" id="{AF544CEB-3138-48EA-98A8-4A72A19CDE64}"/>
            </a:ext>
          </a:extLst>
        </xdr:cNvPr>
        <xdr:cNvCxnSpPr/>
      </xdr:nvCxnSpPr>
      <xdr:spPr>
        <a:xfrm>
          <a:off x="8086725" y="23814405"/>
          <a:ext cx="617220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82</xdr:row>
      <xdr:rowOff>0</xdr:rowOff>
    </xdr:from>
    <xdr:to>
      <xdr:col>7</xdr:col>
      <xdr:colOff>352425</xdr:colOff>
      <xdr:row>82</xdr:row>
      <xdr:rowOff>9525</xdr:rowOff>
    </xdr:to>
    <xdr:cxnSp macro="">
      <xdr:nvCxnSpPr>
        <xdr:cNvPr id="22" name="Přímá spojnice 21">
          <a:extLst>
            <a:ext uri="{FF2B5EF4-FFF2-40B4-BE49-F238E27FC236}">
              <a16:creationId xmlns:a16="http://schemas.microsoft.com/office/drawing/2014/main" id="{8EE5CD5B-0956-4672-A7E9-8FF50F6BD002}"/>
            </a:ext>
          </a:extLst>
        </xdr:cNvPr>
        <xdr:cNvCxnSpPr/>
      </xdr:nvCxnSpPr>
      <xdr:spPr>
        <a:xfrm>
          <a:off x="8067675" y="24353520"/>
          <a:ext cx="67437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78</xdr:row>
      <xdr:rowOff>47625</xdr:rowOff>
    </xdr:from>
    <xdr:to>
      <xdr:col>8</xdr:col>
      <xdr:colOff>209550</xdr:colOff>
      <xdr:row>83</xdr:row>
      <xdr:rowOff>9525</xdr:rowOff>
    </xdr:to>
    <xdr:sp macro="" textlink="">
      <xdr:nvSpPr>
        <xdr:cNvPr id="23" name="Obdélník 22">
          <a:extLst>
            <a:ext uri="{FF2B5EF4-FFF2-40B4-BE49-F238E27FC236}">
              <a16:creationId xmlns:a16="http://schemas.microsoft.com/office/drawing/2014/main" id="{3DDF9B1B-9336-4836-8D60-77C6CDB00090}"/>
            </a:ext>
          </a:extLst>
        </xdr:cNvPr>
        <xdr:cNvSpPr/>
      </xdr:nvSpPr>
      <xdr:spPr>
        <a:xfrm>
          <a:off x="8484870" y="23669625"/>
          <a:ext cx="937260" cy="876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Signalizační kontakt Acti9 iOF, 2-100 mA, svorky shora - A9A26915</a:t>
          </a:r>
        </a:p>
      </xdr:txBody>
    </xdr:sp>
    <xdr:clientData/>
  </xdr:twoCellAnchor>
  <xdr:twoCellAnchor>
    <xdr:from>
      <xdr:col>5</xdr:col>
      <xdr:colOff>514349</xdr:colOff>
      <xdr:row>78</xdr:row>
      <xdr:rowOff>28575</xdr:rowOff>
    </xdr:from>
    <xdr:to>
      <xdr:col>6</xdr:col>
      <xdr:colOff>723900</xdr:colOff>
      <xdr:row>82</xdr:row>
      <xdr:rowOff>180975</xdr:rowOff>
    </xdr:to>
    <xdr:sp macro="" textlink="">
      <xdr:nvSpPr>
        <xdr:cNvPr id="24" name="Obdélník 23">
          <a:extLst>
            <a:ext uri="{FF2B5EF4-FFF2-40B4-BE49-F238E27FC236}">
              <a16:creationId xmlns:a16="http://schemas.microsoft.com/office/drawing/2014/main" id="{300E3F16-FF2E-4AA4-BD41-385E0408B2BD}"/>
            </a:ext>
          </a:extLst>
        </xdr:cNvPr>
        <xdr:cNvSpPr/>
      </xdr:nvSpPr>
      <xdr:spPr>
        <a:xfrm>
          <a:off x="6998969" y="23650575"/>
          <a:ext cx="1230631" cy="8839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Vypínač Schneider iSW do 32 A - A9S60232</a:t>
          </a:r>
        </a:p>
      </xdr:txBody>
    </xdr:sp>
    <xdr:clientData/>
  </xdr:twoCellAnchor>
  <xdr:twoCellAnchor>
    <xdr:from>
      <xdr:col>15</xdr:col>
      <xdr:colOff>95250</xdr:colOff>
      <xdr:row>79</xdr:row>
      <xdr:rowOff>9525</xdr:rowOff>
    </xdr:from>
    <xdr:to>
      <xdr:col>16</xdr:col>
      <xdr:colOff>28575</xdr:colOff>
      <xdr:row>79</xdr:row>
      <xdr:rowOff>19050</xdr:rowOff>
    </xdr:to>
    <xdr:cxnSp macro="">
      <xdr:nvCxnSpPr>
        <xdr:cNvPr id="25" name="Přímá spojnice 24">
          <a:extLst>
            <a:ext uri="{FF2B5EF4-FFF2-40B4-BE49-F238E27FC236}">
              <a16:creationId xmlns:a16="http://schemas.microsoft.com/office/drawing/2014/main" id="{18CC27E4-76F8-4723-B35E-126D6F47329F}"/>
            </a:ext>
          </a:extLst>
        </xdr:cNvPr>
        <xdr:cNvCxnSpPr/>
      </xdr:nvCxnSpPr>
      <xdr:spPr>
        <a:xfrm>
          <a:off x="14413230" y="23814405"/>
          <a:ext cx="75628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609600</xdr:colOff>
      <xdr:row>79</xdr:row>
      <xdr:rowOff>0</xdr:rowOff>
    </xdr:from>
    <xdr:to>
      <xdr:col>19</xdr:col>
      <xdr:colOff>561975</xdr:colOff>
      <xdr:row>79</xdr:row>
      <xdr:rowOff>9525</xdr:rowOff>
    </xdr:to>
    <xdr:cxnSp macro="">
      <xdr:nvCxnSpPr>
        <xdr:cNvPr id="26" name="Přímá spojnice 25">
          <a:extLst>
            <a:ext uri="{FF2B5EF4-FFF2-40B4-BE49-F238E27FC236}">
              <a16:creationId xmlns:a16="http://schemas.microsoft.com/office/drawing/2014/main" id="{BF2EED66-080E-4CAA-9834-DB397FF6F092}"/>
            </a:ext>
          </a:extLst>
        </xdr:cNvPr>
        <xdr:cNvCxnSpPr/>
      </xdr:nvCxnSpPr>
      <xdr:spPr>
        <a:xfrm flipV="1">
          <a:off x="15750540" y="23804880"/>
          <a:ext cx="216217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114300</xdr:colOff>
      <xdr:row>82</xdr:row>
      <xdr:rowOff>9525</xdr:rowOff>
    </xdr:from>
    <xdr:to>
      <xdr:col>16</xdr:col>
      <xdr:colOff>76200</xdr:colOff>
      <xdr:row>82</xdr:row>
      <xdr:rowOff>9525</xdr:rowOff>
    </xdr:to>
    <xdr:cxnSp macro="">
      <xdr:nvCxnSpPr>
        <xdr:cNvPr id="27" name="Přímá spojnice 26">
          <a:extLst>
            <a:ext uri="{FF2B5EF4-FFF2-40B4-BE49-F238E27FC236}">
              <a16:creationId xmlns:a16="http://schemas.microsoft.com/office/drawing/2014/main" id="{1A945715-6BD9-45AA-93D3-D2DAC38136F1}"/>
            </a:ext>
          </a:extLst>
        </xdr:cNvPr>
        <xdr:cNvCxnSpPr/>
      </xdr:nvCxnSpPr>
      <xdr:spPr>
        <a:xfrm>
          <a:off x="14432280" y="24363045"/>
          <a:ext cx="78486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628650</xdr:colOff>
      <xdr:row>81</xdr:row>
      <xdr:rowOff>171450</xdr:rowOff>
    </xdr:from>
    <xdr:to>
      <xdr:col>19</xdr:col>
      <xdr:colOff>609600</xdr:colOff>
      <xdr:row>81</xdr:row>
      <xdr:rowOff>180975</xdr:rowOff>
    </xdr:to>
    <xdr:cxnSp macro="">
      <xdr:nvCxnSpPr>
        <xdr:cNvPr id="28" name="Přímá spojnice 27">
          <a:extLst>
            <a:ext uri="{FF2B5EF4-FFF2-40B4-BE49-F238E27FC236}">
              <a16:creationId xmlns:a16="http://schemas.microsoft.com/office/drawing/2014/main" id="{9BF458F0-6C9C-4C38-8A89-E102FEA8E694}"/>
            </a:ext>
          </a:extLst>
        </xdr:cNvPr>
        <xdr:cNvCxnSpPr/>
      </xdr:nvCxnSpPr>
      <xdr:spPr>
        <a:xfrm flipV="1">
          <a:off x="15769590" y="24342090"/>
          <a:ext cx="219075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447675</xdr:colOff>
      <xdr:row>72</xdr:row>
      <xdr:rowOff>76200</xdr:rowOff>
    </xdr:from>
    <xdr:to>
      <xdr:col>14</xdr:col>
      <xdr:colOff>104775</xdr:colOff>
      <xdr:row>80</xdr:row>
      <xdr:rowOff>38100</xdr:rowOff>
    </xdr:to>
    <xdr:cxnSp macro="">
      <xdr:nvCxnSpPr>
        <xdr:cNvPr id="29" name="Spojnice: pravoúhlá 28">
          <a:extLst>
            <a:ext uri="{FF2B5EF4-FFF2-40B4-BE49-F238E27FC236}">
              <a16:creationId xmlns:a16="http://schemas.microsoft.com/office/drawing/2014/main" id="{06C6A3B2-AC0F-455B-A886-F5AF241B1AE6}"/>
            </a:ext>
          </a:extLst>
        </xdr:cNvPr>
        <xdr:cNvCxnSpPr/>
      </xdr:nvCxnSpPr>
      <xdr:spPr>
        <a:xfrm rot="16200000" flipV="1">
          <a:off x="11397615" y="21488400"/>
          <a:ext cx="1424940" cy="3649980"/>
        </a:xfrm>
        <a:prstGeom prst="bentConnector3">
          <a:avLst>
            <a:gd name="adj1" fmla="val 16026"/>
          </a:avLst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323851</xdr:colOff>
      <xdr:row>72</xdr:row>
      <xdr:rowOff>85725</xdr:rowOff>
    </xdr:from>
    <xdr:to>
      <xdr:col>14</xdr:col>
      <xdr:colOff>9526</xdr:colOff>
      <xdr:row>82</xdr:row>
      <xdr:rowOff>76200</xdr:rowOff>
    </xdr:to>
    <xdr:cxnSp macro="">
      <xdr:nvCxnSpPr>
        <xdr:cNvPr id="30" name="Spojnice: pravoúhlá 29">
          <a:extLst>
            <a:ext uri="{FF2B5EF4-FFF2-40B4-BE49-F238E27FC236}">
              <a16:creationId xmlns:a16="http://schemas.microsoft.com/office/drawing/2014/main" id="{066C72A3-5C65-4AE5-B20F-7DEA1BDEE200}"/>
            </a:ext>
          </a:extLst>
        </xdr:cNvPr>
        <xdr:cNvCxnSpPr/>
      </xdr:nvCxnSpPr>
      <xdr:spPr>
        <a:xfrm rot="16200000" flipV="1">
          <a:off x="11090911" y="21680805"/>
          <a:ext cx="1819275" cy="3678555"/>
        </a:xfrm>
        <a:prstGeom prst="bentConnector3">
          <a:avLst>
            <a:gd name="adj1" fmla="val 4774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85725</xdr:colOff>
      <xdr:row>78</xdr:row>
      <xdr:rowOff>19050</xdr:rowOff>
    </xdr:from>
    <xdr:to>
      <xdr:col>15</xdr:col>
      <xdr:colOff>257175</xdr:colOff>
      <xdr:row>82</xdr:row>
      <xdr:rowOff>171450</xdr:rowOff>
    </xdr:to>
    <xdr:sp macro="" textlink="">
      <xdr:nvSpPr>
        <xdr:cNvPr id="31" name="Obdélník 30">
          <a:extLst>
            <a:ext uri="{FF2B5EF4-FFF2-40B4-BE49-F238E27FC236}">
              <a16:creationId xmlns:a16="http://schemas.microsoft.com/office/drawing/2014/main" id="{0E6A945D-E1D8-44CB-B5EC-EC33423BAD75}"/>
            </a:ext>
          </a:extLst>
        </xdr:cNvPr>
        <xdr:cNvSpPr/>
      </xdr:nvSpPr>
      <xdr:spPr>
        <a:xfrm>
          <a:off x="13062585" y="23641050"/>
          <a:ext cx="1512570" cy="8839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Pojistkový odpínač OEZ OPVP10-1 10x38 1P      + Pojistka válcová OEZ PV10 20A gG</a:t>
          </a:r>
        </a:p>
      </xdr:txBody>
    </xdr:sp>
    <xdr:clientData/>
  </xdr:twoCellAnchor>
  <xdr:twoCellAnchor>
    <xdr:from>
      <xdr:col>15</xdr:col>
      <xdr:colOff>666750</xdr:colOff>
      <xdr:row>78</xdr:row>
      <xdr:rowOff>19050</xdr:rowOff>
    </xdr:from>
    <xdr:to>
      <xdr:col>19</xdr:col>
      <xdr:colOff>57150</xdr:colOff>
      <xdr:row>82</xdr:row>
      <xdr:rowOff>171450</xdr:rowOff>
    </xdr:to>
    <xdr:sp macro="" textlink="">
      <xdr:nvSpPr>
        <xdr:cNvPr id="32" name="Obdélník 31">
          <a:extLst>
            <a:ext uri="{FF2B5EF4-FFF2-40B4-BE49-F238E27FC236}">
              <a16:creationId xmlns:a16="http://schemas.microsoft.com/office/drawing/2014/main" id="{D4B3AA6A-9C66-49D9-A399-A1BB7DC1E7ED}"/>
            </a:ext>
          </a:extLst>
        </xdr:cNvPr>
        <xdr:cNvSpPr/>
      </xdr:nvSpPr>
      <xdr:spPr>
        <a:xfrm>
          <a:off x="14984730" y="23641050"/>
          <a:ext cx="2423160" cy="8839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Jikong Smart BMS – aktivní balancér 8S-20S 200A</a:t>
          </a:r>
        </a:p>
      </xdr:txBody>
    </xdr:sp>
    <xdr:clientData/>
  </xdr:twoCellAnchor>
  <xdr:twoCellAnchor>
    <xdr:from>
      <xdr:col>19</xdr:col>
      <xdr:colOff>333375</xdr:colOff>
      <xdr:row>78</xdr:row>
      <xdr:rowOff>19050</xdr:rowOff>
    </xdr:from>
    <xdr:to>
      <xdr:col>27</xdr:col>
      <xdr:colOff>209551</xdr:colOff>
      <xdr:row>82</xdr:row>
      <xdr:rowOff>171450</xdr:rowOff>
    </xdr:to>
    <xdr:sp macro="" textlink="">
      <xdr:nvSpPr>
        <xdr:cNvPr id="33" name="Obdélník 32">
          <a:extLst>
            <a:ext uri="{FF2B5EF4-FFF2-40B4-BE49-F238E27FC236}">
              <a16:creationId xmlns:a16="http://schemas.microsoft.com/office/drawing/2014/main" id="{824811EA-A19C-4318-807C-48FEA551B80C}"/>
            </a:ext>
          </a:extLst>
        </xdr:cNvPr>
        <xdr:cNvSpPr/>
      </xdr:nvSpPr>
      <xdr:spPr>
        <a:xfrm>
          <a:off x="17684115" y="23641050"/>
          <a:ext cx="6025516" cy="8839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16 x nvision ESS 4LH3L7 280Ah - LiFePO4 - 3.2V grade A - 14Kwh</a:t>
          </a:r>
        </a:p>
      </xdr:txBody>
    </xdr:sp>
    <xdr:clientData/>
  </xdr:twoCellAnchor>
  <xdr:twoCellAnchor>
    <xdr:from>
      <xdr:col>15</xdr:col>
      <xdr:colOff>485775</xdr:colOff>
      <xdr:row>68</xdr:row>
      <xdr:rowOff>180975</xdr:rowOff>
    </xdr:from>
    <xdr:to>
      <xdr:col>16</xdr:col>
      <xdr:colOff>581025</xdr:colOff>
      <xdr:row>69</xdr:row>
      <xdr:rowOff>0</xdr:rowOff>
    </xdr:to>
    <xdr:cxnSp macro="">
      <xdr:nvCxnSpPr>
        <xdr:cNvPr id="34" name="Přímá spojnice 33">
          <a:extLst>
            <a:ext uri="{FF2B5EF4-FFF2-40B4-BE49-F238E27FC236}">
              <a16:creationId xmlns:a16="http://schemas.microsoft.com/office/drawing/2014/main" id="{FA74B398-0363-4D95-B561-65102565178A}"/>
            </a:ext>
          </a:extLst>
        </xdr:cNvPr>
        <xdr:cNvCxnSpPr/>
      </xdr:nvCxnSpPr>
      <xdr:spPr>
        <a:xfrm>
          <a:off x="14803755" y="21974175"/>
          <a:ext cx="918210" cy="190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552450</xdr:colOff>
      <xdr:row>71</xdr:row>
      <xdr:rowOff>47625</xdr:rowOff>
    </xdr:from>
    <xdr:to>
      <xdr:col>16</xdr:col>
      <xdr:colOff>695325</xdr:colOff>
      <xdr:row>71</xdr:row>
      <xdr:rowOff>47625</xdr:rowOff>
    </xdr:to>
    <xdr:cxnSp macro="">
      <xdr:nvCxnSpPr>
        <xdr:cNvPr id="35" name="Přímá spojnice 34">
          <a:extLst>
            <a:ext uri="{FF2B5EF4-FFF2-40B4-BE49-F238E27FC236}">
              <a16:creationId xmlns:a16="http://schemas.microsoft.com/office/drawing/2014/main" id="{5B4F3B40-EBE6-46BE-845B-FAC608EC6883}"/>
            </a:ext>
          </a:extLst>
        </xdr:cNvPr>
        <xdr:cNvCxnSpPr/>
      </xdr:nvCxnSpPr>
      <xdr:spPr>
        <a:xfrm>
          <a:off x="14870430" y="22389465"/>
          <a:ext cx="96583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152400</xdr:colOff>
      <xdr:row>69</xdr:row>
      <xdr:rowOff>0</xdr:rowOff>
    </xdr:from>
    <xdr:to>
      <xdr:col>14</xdr:col>
      <xdr:colOff>371475</xdr:colOff>
      <xdr:row>69</xdr:row>
      <xdr:rowOff>0</xdr:rowOff>
    </xdr:to>
    <xdr:cxnSp macro="">
      <xdr:nvCxnSpPr>
        <xdr:cNvPr id="36" name="Přímá spojnice 35">
          <a:extLst>
            <a:ext uri="{FF2B5EF4-FFF2-40B4-BE49-F238E27FC236}">
              <a16:creationId xmlns:a16="http://schemas.microsoft.com/office/drawing/2014/main" id="{FCE30832-B727-4CC9-8B96-95033FA04014}"/>
            </a:ext>
          </a:extLst>
        </xdr:cNvPr>
        <xdr:cNvCxnSpPr/>
      </xdr:nvCxnSpPr>
      <xdr:spPr>
        <a:xfrm>
          <a:off x="13129260" y="21976080"/>
          <a:ext cx="1072515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71</xdr:row>
      <xdr:rowOff>47625</xdr:rowOff>
    </xdr:from>
    <xdr:to>
      <xdr:col>14</xdr:col>
      <xdr:colOff>285750</xdr:colOff>
      <xdr:row>71</xdr:row>
      <xdr:rowOff>47625</xdr:rowOff>
    </xdr:to>
    <xdr:cxnSp macro="">
      <xdr:nvCxnSpPr>
        <xdr:cNvPr id="37" name="Přímá spojnice 36">
          <a:extLst>
            <a:ext uri="{FF2B5EF4-FFF2-40B4-BE49-F238E27FC236}">
              <a16:creationId xmlns:a16="http://schemas.microsoft.com/office/drawing/2014/main" id="{21EB9C66-25B0-4B8E-B520-1C7598E7684C}"/>
            </a:ext>
          </a:extLst>
        </xdr:cNvPr>
        <xdr:cNvCxnSpPr/>
      </xdr:nvCxnSpPr>
      <xdr:spPr>
        <a:xfrm>
          <a:off x="13081635" y="22389465"/>
          <a:ext cx="103441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514350</xdr:colOff>
      <xdr:row>67</xdr:row>
      <xdr:rowOff>114300</xdr:rowOff>
    </xdr:from>
    <xdr:to>
      <xdr:col>13</xdr:col>
      <xdr:colOff>190500</xdr:colOff>
      <xdr:row>72</xdr:row>
      <xdr:rowOff>76200</xdr:rowOff>
    </xdr:to>
    <xdr:sp macro="" textlink="">
      <xdr:nvSpPr>
        <xdr:cNvPr id="38" name="Obdélník 37">
          <a:extLst>
            <a:ext uri="{FF2B5EF4-FFF2-40B4-BE49-F238E27FC236}">
              <a16:creationId xmlns:a16="http://schemas.microsoft.com/office/drawing/2014/main" id="{2848268F-ACC1-4670-9854-2C2FF635E464}"/>
            </a:ext>
          </a:extLst>
        </xdr:cNvPr>
        <xdr:cNvSpPr/>
      </xdr:nvSpPr>
      <xdr:spPr>
        <a:xfrm>
          <a:off x="9726930" y="21724620"/>
          <a:ext cx="3440430" cy="876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Měnič</a:t>
          </a:r>
        </a:p>
      </xdr:txBody>
    </xdr:sp>
    <xdr:clientData/>
  </xdr:twoCellAnchor>
  <xdr:twoCellAnchor>
    <xdr:from>
      <xdr:col>14</xdr:col>
      <xdr:colOff>219075</xdr:colOff>
      <xdr:row>67</xdr:row>
      <xdr:rowOff>114300</xdr:rowOff>
    </xdr:from>
    <xdr:to>
      <xdr:col>15</xdr:col>
      <xdr:colOff>657225</xdr:colOff>
      <xdr:row>72</xdr:row>
      <xdr:rowOff>76200</xdr:rowOff>
    </xdr:to>
    <xdr:sp macro="" textlink="">
      <xdr:nvSpPr>
        <xdr:cNvPr id="39" name="Obdélník 38">
          <a:extLst>
            <a:ext uri="{FF2B5EF4-FFF2-40B4-BE49-F238E27FC236}">
              <a16:creationId xmlns:a16="http://schemas.microsoft.com/office/drawing/2014/main" id="{8D2800D2-6157-4E8D-8E8D-D980D3E7B3E8}"/>
            </a:ext>
          </a:extLst>
        </xdr:cNvPr>
        <xdr:cNvSpPr/>
      </xdr:nvSpPr>
      <xdr:spPr>
        <a:xfrm>
          <a:off x="14049375" y="21724620"/>
          <a:ext cx="925830" cy="876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Stykač Schneider iCT - A9C20842</a:t>
          </a:r>
        </a:p>
      </xdr:txBody>
    </xdr:sp>
    <xdr:clientData/>
  </xdr:twoCellAnchor>
  <xdr:twoCellAnchor>
    <xdr:from>
      <xdr:col>26</xdr:col>
      <xdr:colOff>285750</xdr:colOff>
      <xdr:row>71</xdr:row>
      <xdr:rowOff>104775</xdr:rowOff>
    </xdr:from>
    <xdr:to>
      <xdr:col>27</xdr:col>
      <xdr:colOff>657225</xdr:colOff>
      <xdr:row>71</xdr:row>
      <xdr:rowOff>114300</xdr:rowOff>
    </xdr:to>
    <xdr:cxnSp macro="">
      <xdr:nvCxnSpPr>
        <xdr:cNvPr id="40" name="Přímá spojnice 39">
          <a:extLst>
            <a:ext uri="{FF2B5EF4-FFF2-40B4-BE49-F238E27FC236}">
              <a16:creationId xmlns:a16="http://schemas.microsoft.com/office/drawing/2014/main" id="{4BCF307C-2612-4A29-981A-E4159D00CB1A}"/>
            </a:ext>
          </a:extLst>
        </xdr:cNvPr>
        <xdr:cNvCxnSpPr/>
      </xdr:nvCxnSpPr>
      <xdr:spPr>
        <a:xfrm flipV="1">
          <a:off x="23069550" y="22446615"/>
          <a:ext cx="1087755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247650</xdr:colOff>
      <xdr:row>68</xdr:row>
      <xdr:rowOff>104775</xdr:rowOff>
    </xdr:from>
    <xdr:to>
      <xdr:col>29</xdr:col>
      <xdr:colOff>209550</xdr:colOff>
      <xdr:row>68</xdr:row>
      <xdr:rowOff>104775</xdr:rowOff>
    </xdr:to>
    <xdr:cxnSp macro="">
      <xdr:nvCxnSpPr>
        <xdr:cNvPr id="41" name="Přímá spojnice 40">
          <a:extLst>
            <a:ext uri="{FF2B5EF4-FFF2-40B4-BE49-F238E27FC236}">
              <a16:creationId xmlns:a16="http://schemas.microsoft.com/office/drawing/2014/main" id="{0821B9A0-9459-482E-9DA3-79DB6D2CD26F}"/>
            </a:ext>
          </a:extLst>
        </xdr:cNvPr>
        <xdr:cNvCxnSpPr/>
      </xdr:nvCxnSpPr>
      <xdr:spPr>
        <a:xfrm>
          <a:off x="23031450" y="21897975"/>
          <a:ext cx="2186940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142875</xdr:colOff>
      <xdr:row>81</xdr:row>
      <xdr:rowOff>28575</xdr:rowOff>
    </xdr:from>
    <xdr:to>
      <xdr:col>3</xdr:col>
      <xdr:colOff>152400</xdr:colOff>
      <xdr:row>85</xdr:row>
      <xdr:rowOff>95250</xdr:rowOff>
    </xdr:to>
    <xdr:cxnSp macro="">
      <xdr:nvCxnSpPr>
        <xdr:cNvPr id="42" name="Spojnice: pravoúhlá 1092">
          <a:extLst>
            <a:ext uri="{FF2B5EF4-FFF2-40B4-BE49-F238E27FC236}">
              <a16:creationId xmlns:a16="http://schemas.microsoft.com/office/drawing/2014/main" id="{2ECCC205-649D-49EF-812C-FD937B3F2E51}"/>
            </a:ext>
          </a:extLst>
        </xdr:cNvPr>
        <xdr:cNvCxnSpPr/>
      </xdr:nvCxnSpPr>
      <xdr:spPr>
        <a:xfrm flipH="1">
          <a:off x="4951095" y="24199215"/>
          <a:ext cx="9525" cy="798195"/>
        </a:xfrm>
        <a:prstGeom prst="straightConnector1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80</xdr:row>
      <xdr:rowOff>57150</xdr:rowOff>
    </xdr:from>
    <xdr:to>
      <xdr:col>3</xdr:col>
      <xdr:colOff>581025</xdr:colOff>
      <xdr:row>84</xdr:row>
      <xdr:rowOff>123825</xdr:rowOff>
    </xdr:to>
    <xdr:cxnSp macro="">
      <xdr:nvCxnSpPr>
        <xdr:cNvPr id="43" name="Přímá spojnice 42">
          <a:extLst>
            <a:ext uri="{FF2B5EF4-FFF2-40B4-BE49-F238E27FC236}">
              <a16:creationId xmlns:a16="http://schemas.microsoft.com/office/drawing/2014/main" id="{313288C0-C606-478B-A306-FF03CDF2029B}"/>
            </a:ext>
          </a:extLst>
        </xdr:cNvPr>
        <xdr:cNvCxnSpPr/>
      </xdr:nvCxnSpPr>
      <xdr:spPr>
        <a:xfrm flipH="1">
          <a:off x="5379720" y="24044910"/>
          <a:ext cx="9525" cy="79819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561975</xdr:colOff>
      <xdr:row>84</xdr:row>
      <xdr:rowOff>95250</xdr:rowOff>
    </xdr:from>
    <xdr:to>
      <xdr:col>27</xdr:col>
      <xdr:colOff>666750</xdr:colOff>
      <xdr:row>84</xdr:row>
      <xdr:rowOff>142875</xdr:rowOff>
    </xdr:to>
    <xdr:cxnSp macro="">
      <xdr:nvCxnSpPr>
        <xdr:cNvPr id="44" name="Přímá spojnice 43">
          <a:extLst>
            <a:ext uri="{FF2B5EF4-FFF2-40B4-BE49-F238E27FC236}">
              <a16:creationId xmlns:a16="http://schemas.microsoft.com/office/drawing/2014/main" id="{73436C4F-973D-44F0-8287-E39B743E8A0E}"/>
            </a:ext>
          </a:extLst>
        </xdr:cNvPr>
        <xdr:cNvCxnSpPr/>
      </xdr:nvCxnSpPr>
      <xdr:spPr>
        <a:xfrm flipV="1">
          <a:off x="5370195" y="24814530"/>
          <a:ext cx="18796635" cy="476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85</xdr:row>
      <xdr:rowOff>47625</xdr:rowOff>
    </xdr:from>
    <xdr:to>
      <xdr:col>29</xdr:col>
      <xdr:colOff>190500</xdr:colOff>
      <xdr:row>85</xdr:row>
      <xdr:rowOff>95250</xdr:rowOff>
    </xdr:to>
    <xdr:cxnSp macro="">
      <xdr:nvCxnSpPr>
        <xdr:cNvPr id="45" name="Přímá spojnice 44">
          <a:extLst>
            <a:ext uri="{FF2B5EF4-FFF2-40B4-BE49-F238E27FC236}">
              <a16:creationId xmlns:a16="http://schemas.microsoft.com/office/drawing/2014/main" id="{A4AD9449-B047-45A3-AE2F-B6714C0AB4A9}"/>
            </a:ext>
          </a:extLst>
        </xdr:cNvPr>
        <xdr:cNvCxnSpPr/>
      </xdr:nvCxnSpPr>
      <xdr:spPr>
        <a:xfrm flipV="1">
          <a:off x="4960620" y="24949785"/>
          <a:ext cx="20238720" cy="476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190500</xdr:colOff>
      <xdr:row>68</xdr:row>
      <xdr:rowOff>123825</xdr:rowOff>
    </xdr:from>
    <xdr:to>
      <xdr:col>29</xdr:col>
      <xdr:colOff>190500</xdr:colOff>
      <xdr:row>85</xdr:row>
      <xdr:rowOff>57150</xdr:rowOff>
    </xdr:to>
    <xdr:cxnSp macro="">
      <xdr:nvCxnSpPr>
        <xdr:cNvPr id="46" name="Přímá spojnice 45">
          <a:extLst>
            <a:ext uri="{FF2B5EF4-FFF2-40B4-BE49-F238E27FC236}">
              <a16:creationId xmlns:a16="http://schemas.microsoft.com/office/drawing/2014/main" id="{865EDF5A-655C-4C2E-A517-4B79EF929899}"/>
            </a:ext>
          </a:extLst>
        </xdr:cNvPr>
        <xdr:cNvCxnSpPr/>
      </xdr:nvCxnSpPr>
      <xdr:spPr>
        <a:xfrm>
          <a:off x="25199340" y="21917025"/>
          <a:ext cx="0" cy="304228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647700</xdr:colOff>
      <xdr:row>71</xdr:row>
      <xdr:rowOff>104775</xdr:rowOff>
    </xdr:from>
    <xdr:to>
      <xdr:col>27</xdr:col>
      <xdr:colOff>657225</xdr:colOff>
      <xdr:row>84</xdr:row>
      <xdr:rowOff>104775</xdr:rowOff>
    </xdr:to>
    <xdr:cxnSp macro="">
      <xdr:nvCxnSpPr>
        <xdr:cNvPr id="47" name="Přímá spojnice 46">
          <a:extLst>
            <a:ext uri="{FF2B5EF4-FFF2-40B4-BE49-F238E27FC236}">
              <a16:creationId xmlns:a16="http://schemas.microsoft.com/office/drawing/2014/main" id="{52425394-225E-4F00-BA42-D6AE5DBB0CEB}"/>
            </a:ext>
          </a:extLst>
        </xdr:cNvPr>
        <xdr:cNvCxnSpPr/>
      </xdr:nvCxnSpPr>
      <xdr:spPr>
        <a:xfrm flipH="1">
          <a:off x="24147780" y="22446615"/>
          <a:ext cx="9525" cy="237744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409574</xdr:colOff>
      <xdr:row>67</xdr:row>
      <xdr:rowOff>142875</xdr:rowOff>
    </xdr:from>
    <xdr:to>
      <xdr:col>26</xdr:col>
      <xdr:colOff>419100</xdr:colOff>
      <xdr:row>72</xdr:row>
      <xdr:rowOff>104775</xdr:rowOff>
    </xdr:to>
    <xdr:sp macro="" textlink="">
      <xdr:nvSpPr>
        <xdr:cNvPr id="48" name="Obdélník 47">
          <a:extLst>
            <a:ext uri="{FF2B5EF4-FFF2-40B4-BE49-F238E27FC236}">
              <a16:creationId xmlns:a16="http://schemas.microsoft.com/office/drawing/2014/main" id="{2F00154A-737B-4771-A8E1-E6A6530EECB5}"/>
            </a:ext>
          </a:extLst>
        </xdr:cNvPr>
        <xdr:cNvSpPr/>
      </xdr:nvSpPr>
      <xdr:spPr>
        <a:xfrm>
          <a:off x="15550514" y="21753195"/>
          <a:ext cx="7652386" cy="876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Pojistkový odpínač OEZ OPVP22-1 22x58 + Pojistka válcová OEZ PV22 20A gG</a:t>
          </a:r>
        </a:p>
      </xdr:txBody>
    </xdr:sp>
    <xdr:clientData/>
  </xdr:twoCellAnchor>
  <xdr:twoCellAnchor>
    <xdr:from>
      <xdr:col>27</xdr:col>
      <xdr:colOff>190500</xdr:colOff>
      <xdr:row>75</xdr:row>
      <xdr:rowOff>133350</xdr:rowOff>
    </xdr:from>
    <xdr:to>
      <xdr:col>27</xdr:col>
      <xdr:colOff>666750</xdr:colOff>
      <xdr:row>75</xdr:row>
      <xdr:rowOff>133350</xdr:rowOff>
    </xdr:to>
    <xdr:cxnSp macro="">
      <xdr:nvCxnSpPr>
        <xdr:cNvPr id="49" name="Přímá spojnice se šipkou 48">
          <a:extLst>
            <a:ext uri="{FF2B5EF4-FFF2-40B4-BE49-F238E27FC236}">
              <a16:creationId xmlns:a16="http://schemas.microsoft.com/office/drawing/2014/main" id="{414A7609-8204-4629-9F22-44F9CBEFD349}"/>
            </a:ext>
          </a:extLst>
        </xdr:cNvPr>
        <xdr:cNvCxnSpPr/>
      </xdr:nvCxnSpPr>
      <xdr:spPr>
        <a:xfrm>
          <a:off x="23690580" y="23206710"/>
          <a:ext cx="47625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75</xdr:row>
      <xdr:rowOff>104775</xdr:rowOff>
    </xdr:from>
    <xdr:to>
      <xdr:col>9</xdr:col>
      <xdr:colOff>0</xdr:colOff>
      <xdr:row>75</xdr:row>
      <xdr:rowOff>104775</xdr:rowOff>
    </xdr:to>
    <xdr:cxnSp macro="">
      <xdr:nvCxnSpPr>
        <xdr:cNvPr id="50" name="Přímá spojnice se šipkou 49">
          <a:extLst>
            <a:ext uri="{FF2B5EF4-FFF2-40B4-BE49-F238E27FC236}">
              <a16:creationId xmlns:a16="http://schemas.microsoft.com/office/drawing/2014/main" id="{E64A9333-B22E-46AD-A18B-D5C2C230375B}"/>
            </a:ext>
          </a:extLst>
        </xdr:cNvPr>
        <xdr:cNvCxnSpPr/>
      </xdr:nvCxnSpPr>
      <xdr:spPr>
        <a:xfrm>
          <a:off x="9526905" y="23178135"/>
          <a:ext cx="31051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67</xdr:row>
      <xdr:rowOff>95250</xdr:rowOff>
    </xdr:from>
    <xdr:to>
      <xdr:col>3</xdr:col>
      <xdr:colOff>209550</xdr:colOff>
      <xdr:row>69</xdr:row>
      <xdr:rowOff>47625</xdr:rowOff>
    </xdr:to>
    <xdr:cxnSp macro="">
      <xdr:nvCxnSpPr>
        <xdr:cNvPr id="51" name="Přímá spojnice se šipkou 50">
          <a:extLst>
            <a:ext uri="{FF2B5EF4-FFF2-40B4-BE49-F238E27FC236}">
              <a16:creationId xmlns:a16="http://schemas.microsoft.com/office/drawing/2014/main" id="{B9CA30F3-D0B7-4AD8-B1CC-652C1B33798D}"/>
            </a:ext>
          </a:extLst>
        </xdr:cNvPr>
        <xdr:cNvCxnSpPr/>
      </xdr:nvCxnSpPr>
      <xdr:spPr>
        <a:xfrm>
          <a:off x="5017770" y="21705570"/>
          <a:ext cx="0" cy="31813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457200</xdr:colOff>
      <xdr:row>75</xdr:row>
      <xdr:rowOff>114300</xdr:rowOff>
    </xdr:from>
    <xdr:to>
      <xdr:col>14</xdr:col>
      <xdr:colOff>19050</xdr:colOff>
      <xdr:row>75</xdr:row>
      <xdr:rowOff>114300</xdr:rowOff>
    </xdr:to>
    <xdr:cxnSp macro="">
      <xdr:nvCxnSpPr>
        <xdr:cNvPr id="52" name="Přímá spojnice se šipkou 51">
          <a:extLst>
            <a:ext uri="{FF2B5EF4-FFF2-40B4-BE49-F238E27FC236}">
              <a16:creationId xmlns:a16="http://schemas.microsoft.com/office/drawing/2014/main" id="{D8187713-812E-4285-B6DD-2EB1EA92AB17}"/>
            </a:ext>
          </a:extLst>
        </xdr:cNvPr>
        <xdr:cNvCxnSpPr/>
      </xdr:nvCxnSpPr>
      <xdr:spPr>
        <a:xfrm flipH="1">
          <a:off x="10294620" y="23187660"/>
          <a:ext cx="355473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67</xdr:row>
      <xdr:rowOff>57150</xdr:rowOff>
    </xdr:from>
    <xdr:to>
      <xdr:col>8</xdr:col>
      <xdr:colOff>257175</xdr:colOff>
      <xdr:row>69</xdr:row>
      <xdr:rowOff>9525</xdr:rowOff>
    </xdr:to>
    <xdr:cxnSp macro="">
      <xdr:nvCxnSpPr>
        <xdr:cNvPr id="53" name="Přímá spojnice se šipkou 52">
          <a:extLst>
            <a:ext uri="{FF2B5EF4-FFF2-40B4-BE49-F238E27FC236}">
              <a16:creationId xmlns:a16="http://schemas.microsoft.com/office/drawing/2014/main" id="{6D800D03-F4D9-46EA-8054-DCDA58F3E478}"/>
            </a:ext>
          </a:extLst>
        </xdr:cNvPr>
        <xdr:cNvCxnSpPr/>
      </xdr:nvCxnSpPr>
      <xdr:spPr>
        <a:xfrm>
          <a:off x="9469755" y="21667470"/>
          <a:ext cx="0" cy="31813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77</xdr:row>
      <xdr:rowOff>38100</xdr:rowOff>
    </xdr:from>
    <xdr:to>
      <xdr:col>4</xdr:col>
      <xdr:colOff>200025</xdr:colOff>
      <xdr:row>78</xdr:row>
      <xdr:rowOff>180975</xdr:rowOff>
    </xdr:to>
    <xdr:cxnSp macro="">
      <xdr:nvCxnSpPr>
        <xdr:cNvPr id="54" name="Přímá spojnice se šipkou 53">
          <a:extLst>
            <a:ext uri="{FF2B5EF4-FFF2-40B4-BE49-F238E27FC236}">
              <a16:creationId xmlns:a16="http://schemas.microsoft.com/office/drawing/2014/main" id="{FD5103E5-A034-4DF0-BEC0-C98E9B8B8407}"/>
            </a:ext>
          </a:extLst>
        </xdr:cNvPr>
        <xdr:cNvCxnSpPr/>
      </xdr:nvCxnSpPr>
      <xdr:spPr>
        <a:xfrm>
          <a:off x="5732145" y="23477220"/>
          <a:ext cx="0" cy="32575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76200</xdr:colOff>
      <xdr:row>67</xdr:row>
      <xdr:rowOff>47625</xdr:rowOff>
    </xdr:from>
    <xdr:to>
      <xdr:col>14</xdr:col>
      <xdr:colOff>76200</xdr:colOff>
      <xdr:row>69</xdr:row>
      <xdr:rowOff>0</xdr:rowOff>
    </xdr:to>
    <xdr:cxnSp macro="">
      <xdr:nvCxnSpPr>
        <xdr:cNvPr id="55" name="Přímá spojnice se šipkou 54">
          <a:extLst>
            <a:ext uri="{FF2B5EF4-FFF2-40B4-BE49-F238E27FC236}">
              <a16:creationId xmlns:a16="http://schemas.microsoft.com/office/drawing/2014/main" id="{11E5B843-4CDD-40FB-88D7-CB5295A113D0}"/>
            </a:ext>
          </a:extLst>
        </xdr:cNvPr>
        <xdr:cNvCxnSpPr/>
      </xdr:nvCxnSpPr>
      <xdr:spPr>
        <a:xfrm>
          <a:off x="13906500" y="21657945"/>
          <a:ext cx="0" cy="31813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79</xdr:row>
      <xdr:rowOff>9525</xdr:rowOff>
    </xdr:from>
    <xdr:to>
      <xdr:col>3</xdr:col>
      <xdr:colOff>238125</xdr:colOff>
      <xdr:row>79</xdr:row>
      <xdr:rowOff>9525</xdr:rowOff>
    </xdr:to>
    <xdr:cxnSp macro="">
      <xdr:nvCxnSpPr>
        <xdr:cNvPr id="56" name="Přímá spojnice 55">
          <a:extLst>
            <a:ext uri="{FF2B5EF4-FFF2-40B4-BE49-F238E27FC236}">
              <a16:creationId xmlns:a16="http://schemas.microsoft.com/office/drawing/2014/main" id="{C0DC80B1-4F44-4F2F-9DBE-6D1446EE65A2}"/>
            </a:ext>
          </a:extLst>
        </xdr:cNvPr>
        <xdr:cNvCxnSpPr/>
      </xdr:nvCxnSpPr>
      <xdr:spPr>
        <a:xfrm>
          <a:off x="4446270" y="23814405"/>
          <a:ext cx="600075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81</xdr:row>
      <xdr:rowOff>171450</xdr:rowOff>
    </xdr:from>
    <xdr:to>
      <xdr:col>3</xdr:col>
      <xdr:colOff>361950</xdr:colOff>
      <xdr:row>81</xdr:row>
      <xdr:rowOff>180975</xdr:rowOff>
    </xdr:to>
    <xdr:cxnSp macro="">
      <xdr:nvCxnSpPr>
        <xdr:cNvPr id="57" name="Přímá spojnice 56">
          <a:extLst>
            <a:ext uri="{FF2B5EF4-FFF2-40B4-BE49-F238E27FC236}">
              <a16:creationId xmlns:a16="http://schemas.microsoft.com/office/drawing/2014/main" id="{23FAAE43-C6AD-4974-AC74-D755B9E67274}"/>
            </a:ext>
          </a:extLst>
        </xdr:cNvPr>
        <xdr:cNvCxnSpPr/>
      </xdr:nvCxnSpPr>
      <xdr:spPr>
        <a:xfrm flipV="1">
          <a:off x="3792855" y="24342090"/>
          <a:ext cx="1377315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2390775</xdr:colOff>
      <xdr:row>78</xdr:row>
      <xdr:rowOff>28575</xdr:rowOff>
    </xdr:from>
    <xdr:to>
      <xdr:col>2</xdr:col>
      <xdr:colOff>247650</xdr:colOff>
      <xdr:row>82</xdr:row>
      <xdr:rowOff>180975</xdr:rowOff>
    </xdr:to>
    <xdr:sp macro="" textlink="">
      <xdr:nvSpPr>
        <xdr:cNvPr id="58" name="Obdélník 57">
          <a:extLst>
            <a:ext uri="{FF2B5EF4-FFF2-40B4-BE49-F238E27FC236}">
              <a16:creationId xmlns:a16="http://schemas.microsoft.com/office/drawing/2014/main" id="{9166EF4F-C6FE-4DBF-8577-5C771696345E}"/>
            </a:ext>
          </a:extLst>
        </xdr:cNvPr>
        <xdr:cNvSpPr/>
      </xdr:nvSpPr>
      <xdr:spPr>
        <a:xfrm>
          <a:off x="2390775" y="23650575"/>
          <a:ext cx="2284095" cy="8839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Venkovní</a:t>
          </a:r>
          <a:r>
            <a:rPr lang="cs-CZ" sz="1100" baseline="0"/>
            <a:t> r</a:t>
          </a:r>
          <a:r>
            <a:rPr lang="cs-CZ" sz="1100"/>
            <a:t>ozvaděč na domu</a:t>
          </a:r>
        </a:p>
      </xdr:txBody>
    </xdr:sp>
    <xdr:clientData/>
  </xdr:twoCellAnchor>
  <xdr:twoCellAnchor>
    <xdr:from>
      <xdr:col>3</xdr:col>
      <xdr:colOff>47624</xdr:colOff>
      <xdr:row>78</xdr:row>
      <xdr:rowOff>38100</xdr:rowOff>
    </xdr:from>
    <xdr:to>
      <xdr:col>4</xdr:col>
      <xdr:colOff>104774</xdr:colOff>
      <xdr:row>83</xdr:row>
      <xdr:rowOff>0</xdr:rowOff>
    </xdr:to>
    <xdr:sp macro="" textlink="">
      <xdr:nvSpPr>
        <xdr:cNvPr id="59" name="Obdélník 58">
          <a:extLst>
            <a:ext uri="{FF2B5EF4-FFF2-40B4-BE49-F238E27FC236}">
              <a16:creationId xmlns:a16="http://schemas.microsoft.com/office/drawing/2014/main" id="{6538437B-8E4E-4D60-B2DF-A3856F6797ED}"/>
            </a:ext>
          </a:extLst>
        </xdr:cNvPr>
        <xdr:cNvSpPr/>
      </xdr:nvSpPr>
      <xdr:spPr>
        <a:xfrm>
          <a:off x="4855844" y="23660100"/>
          <a:ext cx="781050" cy="876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Domovní rozvaděč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shop.kavoj.cz/vpu-pv-i-ii-3-600-e/" TargetMode="External"/><Relationship Id="rId3" Type="http://schemas.openxmlformats.org/officeDocument/2006/relationships/hyperlink" Target="https://www.mivvyenergy.cz/cs/bms-a-balancery/bms-pro-clanky-lifepo4/bms-8s-20s-lifepo4-200a-36v-smart-bluetooth.html" TargetMode="External"/><Relationship Id="rId7" Type="http://schemas.openxmlformats.org/officeDocument/2006/relationships/hyperlink" Target="https://www.solarpower24.it/prodotto/voltronic-axpert-mks-iv-twin-6-0kw-48-volt-6000-48-inverter-solare-isola-off-grid/" TargetMode="External"/><Relationship Id="rId2" Type="http://schemas.openxmlformats.org/officeDocument/2006/relationships/hyperlink" Target="https://www.mivvyenergy.cz/cs/bms-a-balancery/bms-s-aktivnim-balancerem-smart-8s-20s-200a-32v-jikong.html" TargetMode="External"/><Relationship Id="rId1" Type="http://schemas.openxmlformats.org/officeDocument/2006/relationships/hyperlink" Target="https://eu.nkon.nl/rechargeable/lifepo4/prismatisch/rept-cb75-314ah-lifepo4-3-2v-grade-a.html" TargetMode="External"/><Relationship Id="rId6" Type="http://schemas.openxmlformats.org/officeDocument/2006/relationships/hyperlink" Target="https://tienda-solar.es/en/inverters/1862-solar-inverter-charger-axpert-mks-iii-5000-48v" TargetMode="External"/><Relationship Id="rId11" Type="http://schemas.openxmlformats.org/officeDocument/2006/relationships/drawing" Target="../drawings/drawing2.xml"/><Relationship Id="rId5" Type="http://schemas.openxmlformats.org/officeDocument/2006/relationships/hyperlink" Target="https://tienda-solar.es/en/inverters/904-solar-inverter-charger-axpert-vm-iii-5000-48v" TargetMode="External"/><Relationship Id="rId10" Type="http://schemas.openxmlformats.org/officeDocument/2006/relationships/hyperlink" Target="https://www.nkon.nl/en/envision-ess-4lh3l7-280ah-lifepo4-3-2v-a-grade.html" TargetMode="External"/><Relationship Id="rId4" Type="http://schemas.openxmlformats.org/officeDocument/2006/relationships/hyperlink" Target="https://tienda-solar.es/en/inverters/1252-solar-inverter-axpert-king-ll-5000-48v" TargetMode="External"/><Relationship Id="rId9" Type="http://schemas.openxmlformats.org/officeDocument/2006/relationships/hyperlink" Target="https://www.elima.cz/c/305/jist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264AD-F31C-493B-84D3-DF980066DA54}">
  <dimension ref="A1:AK48"/>
  <sheetViews>
    <sheetView tabSelected="1" workbookViewId="0">
      <pane ySplit="1" topLeftCell="A20" activePane="bottomLeft" state="frozen"/>
      <selection pane="bottomLeft" activeCell="C39" sqref="C39"/>
    </sheetView>
  </sheetViews>
  <sheetFormatPr defaultRowHeight="14.4" x14ac:dyDescent="0.3"/>
  <cols>
    <col min="1" max="1" width="47.6640625" customWidth="1"/>
    <col min="2" max="2" width="16.88671875" bestFit="1" customWidth="1"/>
    <col min="3" max="3" width="5.5546875" customWidth="1"/>
    <col min="4" max="4" width="10.5546875" customWidth="1"/>
    <col min="5" max="5" width="13.88671875" bestFit="1" customWidth="1"/>
    <col min="6" max="6" width="14.88671875" bestFit="1" customWidth="1"/>
    <col min="7" max="7" width="12.88671875" bestFit="1" customWidth="1"/>
    <col min="8" max="8" width="12" bestFit="1" customWidth="1"/>
    <col min="9" max="9" width="9.109375" customWidth="1"/>
    <col min="10" max="13" width="11.44140625" customWidth="1"/>
    <col min="14" max="14" width="12.44140625" bestFit="1" customWidth="1"/>
    <col min="15" max="15" width="7.109375" bestFit="1" customWidth="1"/>
    <col min="16" max="16" width="12" customWidth="1"/>
    <col min="17" max="17" width="10.88671875" bestFit="1" customWidth="1"/>
    <col min="18" max="18" width="10.44140625" customWidth="1"/>
    <col min="19" max="19" width="10.88671875" customWidth="1"/>
    <col min="20" max="24" width="11.44140625" customWidth="1"/>
    <col min="25" max="26" width="11" customWidth="1"/>
    <col min="27" max="27" width="10.44140625" bestFit="1" customWidth="1"/>
    <col min="28" max="28" width="10.44140625" customWidth="1"/>
    <col min="29" max="29" width="11.5546875" customWidth="1"/>
    <col min="30" max="30" width="13.6640625" bestFit="1" customWidth="1"/>
    <col min="31" max="31" width="18.88671875" bestFit="1" customWidth="1"/>
  </cols>
  <sheetData>
    <row r="1" spans="1:37" s="2" customFormat="1" ht="72" x14ac:dyDescent="0.3">
      <c r="A1" s="2" t="s">
        <v>147</v>
      </c>
      <c r="B1" s="41" t="s">
        <v>1</v>
      </c>
      <c r="C1" s="41"/>
      <c r="D1" s="2" t="s">
        <v>11</v>
      </c>
      <c r="E1" s="2" t="s">
        <v>14</v>
      </c>
      <c r="F1" s="2" t="s">
        <v>13</v>
      </c>
      <c r="G1" s="2" t="s">
        <v>4</v>
      </c>
      <c r="H1" s="2" t="s">
        <v>5</v>
      </c>
      <c r="I1" s="2" t="s">
        <v>2</v>
      </c>
      <c r="J1" s="2" t="s">
        <v>9</v>
      </c>
      <c r="K1" s="2" t="s">
        <v>123</v>
      </c>
      <c r="L1" s="2" t="s">
        <v>124</v>
      </c>
      <c r="M1" s="2" t="s">
        <v>125</v>
      </c>
      <c r="O1" s="2" t="s">
        <v>3</v>
      </c>
      <c r="P1" s="2" t="s">
        <v>18</v>
      </c>
      <c r="Q1" s="2" t="s">
        <v>90</v>
      </c>
      <c r="R1" s="2" t="s">
        <v>118</v>
      </c>
      <c r="S1" s="2" t="s">
        <v>141</v>
      </c>
      <c r="T1" s="2" t="s">
        <v>142</v>
      </c>
      <c r="U1" s="2" t="s">
        <v>143</v>
      </c>
      <c r="V1" s="2" t="s">
        <v>128</v>
      </c>
      <c r="W1" s="2" t="s">
        <v>129</v>
      </c>
      <c r="X1" s="2" t="s">
        <v>130</v>
      </c>
      <c r="Y1" s="2" t="s">
        <v>131</v>
      </c>
      <c r="AA1" s="2" t="s">
        <v>88</v>
      </c>
      <c r="AB1" s="2" t="s">
        <v>10</v>
      </c>
      <c r="AC1" s="2" t="s">
        <v>120</v>
      </c>
      <c r="AD1" s="2" t="s">
        <v>116</v>
      </c>
      <c r="AE1" s="2" t="s">
        <v>15</v>
      </c>
      <c r="AF1" s="2" t="s">
        <v>16</v>
      </c>
    </row>
    <row r="2" spans="1:37" x14ac:dyDescent="0.3">
      <c r="A2" t="s">
        <v>0</v>
      </c>
      <c r="B2">
        <v>1670</v>
      </c>
      <c r="C2">
        <v>992</v>
      </c>
      <c r="D2">
        <v>305</v>
      </c>
      <c r="E2">
        <v>32.700000000000003</v>
      </c>
      <c r="F2">
        <v>40</v>
      </c>
      <c r="G2">
        <v>9.33</v>
      </c>
      <c r="H2">
        <v>9.68</v>
      </c>
      <c r="I2">
        <v>18.399999999999999</v>
      </c>
      <c r="J2" s="1">
        <f t="shared" ref="J2:J23" si="0">D2/((B2*C2)/1000000)</f>
        <v>184.10759126907476</v>
      </c>
      <c r="K2" s="9">
        <v>0.34</v>
      </c>
      <c r="L2" s="11">
        <v>0.06</v>
      </c>
      <c r="M2" s="9">
        <v>0.4</v>
      </c>
      <c r="O2">
        <f t="shared" ref="O2:O23" si="1">CEILING(AB2,1)</f>
        <v>7</v>
      </c>
      <c r="P2">
        <f t="shared" ref="P2:P23" si="2">O2*D2</f>
        <v>2135</v>
      </c>
      <c r="Q2">
        <f t="shared" ref="Q2:Q23" si="3">O2*F2</f>
        <v>280</v>
      </c>
      <c r="R2" s="1">
        <f t="shared" ref="R2:R23" si="4">O2*E2</f>
        <v>228.90000000000003</v>
      </c>
      <c r="S2" s="1">
        <f>F2*(1+(B35-25)*(-K2%))</f>
        <v>37.552</v>
      </c>
      <c r="T2" s="1">
        <f>F2*(1+(B34-25)*(-K2%))</f>
        <v>46.120000000000005</v>
      </c>
      <c r="U2" s="9">
        <f>H2*(1+(B35-25)*(-L2%))</f>
        <v>9.5754559999999991</v>
      </c>
      <c r="V2" s="1">
        <f>FLOOR(B28/U2,1)</f>
        <v>5</v>
      </c>
      <c r="W2" s="1">
        <f>FLOOR(B29/T2,1)</f>
        <v>4</v>
      </c>
      <c r="X2" s="1">
        <f>CEILING(B32/S2,1)</f>
        <v>2</v>
      </c>
      <c r="Y2">
        <f>CEILING(B30/T2,1)</f>
        <v>4</v>
      </c>
      <c r="AA2" s="46">
        <v>2000</v>
      </c>
      <c r="AB2" s="43">
        <f>AA2/D2</f>
        <v>6.557377049180328</v>
      </c>
      <c r="AC2" s="43">
        <f t="shared" ref="AC2:AC23" si="5">C2*2</f>
        <v>1984</v>
      </c>
      <c r="AD2" s="42">
        <f t="shared" ref="AD2:AD23" si="6">O2*B2/1000</f>
        <v>11.69</v>
      </c>
      <c r="AE2" s="42"/>
      <c r="AF2" s="42">
        <f t="shared" ref="AF2:AF23" si="7">O2*AE2</f>
        <v>0</v>
      </c>
    </row>
    <row r="3" spans="1:37" x14ac:dyDescent="0.3">
      <c r="A3" t="s">
        <v>7</v>
      </c>
      <c r="B3">
        <v>1039</v>
      </c>
      <c r="C3">
        <v>1756</v>
      </c>
      <c r="D3">
        <v>360</v>
      </c>
      <c r="E3">
        <v>33.9</v>
      </c>
      <c r="F3">
        <v>40.5</v>
      </c>
      <c r="G3">
        <v>10.62</v>
      </c>
      <c r="H3">
        <v>11.35</v>
      </c>
      <c r="I3">
        <v>19.7</v>
      </c>
      <c r="J3" s="1">
        <f t="shared" si="0"/>
        <v>197.31606306221374</v>
      </c>
      <c r="K3" s="9">
        <v>0.30399999999999999</v>
      </c>
      <c r="L3" s="11">
        <v>0.05</v>
      </c>
      <c r="M3" s="9">
        <v>0.37</v>
      </c>
      <c r="O3">
        <f t="shared" si="1"/>
        <v>6</v>
      </c>
      <c r="P3">
        <f t="shared" si="2"/>
        <v>2160</v>
      </c>
      <c r="Q3">
        <f t="shared" si="3"/>
        <v>243</v>
      </c>
      <c r="R3" s="1">
        <f t="shared" si="4"/>
        <v>203.39999999999998</v>
      </c>
      <c r="S3" s="1">
        <f>F3*(1+(B35-25)*(-K3%))</f>
        <v>38.283839999999998</v>
      </c>
      <c r="T3" s="1">
        <f>F3*(1+(B34-25)*(-K3%))</f>
        <v>46.040399999999998</v>
      </c>
      <c r="U3" s="9">
        <f>H3*(1+(B35-25)*(-L3%))</f>
        <v>11.24785</v>
      </c>
      <c r="V3" s="1">
        <f>FLOOR(B28/U3,1)</f>
        <v>4</v>
      </c>
      <c r="W3" s="1">
        <f>FLOOR(B29/T3,1)</f>
        <v>4</v>
      </c>
      <c r="X3" s="1">
        <f>CEILING(B32/S3,1)</f>
        <v>2</v>
      </c>
      <c r="Y3">
        <f>CEILING(B30/T3,1)</f>
        <v>4</v>
      </c>
      <c r="AA3" s="46">
        <f>AA2</f>
        <v>2000</v>
      </c>
      <c r="AB3" s="43">
        <f>AA2/D3</f>
        <v>5.5555555555555554</v>
      </c>
      <c r="AC3" s="43">
        <f t="shared" si="5"/>
        <v>3512</v>
      </c>
      <c r="AD3" s="42">
        <f t="shared" si="6"/>
        <v>6.234</v>
      </c>
      <c r="AE3" s="42"/>
      <c r="AF3" s="42">
        <f t="shared" si="7"/>
        <v>0</v>
      </c>
    </row>
    <row r="4" spans="1:37" x14ac:dyDescent="0.3">
      <c r="A4" t="s">
        <v>8</v>
      </c>
      <c r="B4">
        <v>1134</v>
      </c>
      <c r="C4">
        <v>1724</v>
      </c>
      <c r="D4">
        <v>400</v>
      </c>
      <c r="E4">
        <v>31.18</v>
      </c>
      <c r="F4">
        <v>37.04</v>
      </c>
      <c r="G4">
        <v>12.83</v>
      </c>
      <c r="H4">
        <v>13.73</v>
      </c>
      <c r="I4">
        <v>20.5</v>
      </c>
      <c r="J4" s="1">
        <f t="shared" si="0"/>
        <v>204.60190607135695</v>
      </c>
      <c r="K4" s="9">
        <v>0.30399999999999999</v>
      </c>
      <c r="L4" s="11">
        <v>0.05</v>
      </c>
      <c r="M4" s="9">
        <v>0.36</v>
      </c>
      <c r="O4">
        <f t="shared" si="1"/>
        <v>5</v>
      </c>
      <c r="P4">
        <f t="shared" si="2"/>
        <v>2000</v>
      </c>
      <c r="Q4">
        <f t="shared" si="3"/>
        <v>185.2</v>
      </c>
      <c r="R4" s="1">
        <f t="shared" si="4"/>
        <v>155.9</v>
      </c>
      <c r="S4" s="1">
        <f>F4*(1+(B35-25)*(-K4%))</f>
        <v>35.013171200000002</v>
      </c>
      <c r="T4" s="1">
        <f>F4*(1+(B34-25)*(-K4%))</f>
        <v>42.107072000000002</v>
      </c>
      <c r="U4" s="9">
        <f>H4*(1+(B35-25)*(-L4%))</f>
        <v>13.60643</v>
      </c>
      <c r="V4" s="1">
        <f>FLOOR(B28/U4,1)</f>
        <v>3</v>
      </c>
      <c r="W4" s="1">
        <f>FLOOR(B29/T4,1)</f>
        <v>4</v>
      </c>
      <c r="X4" s="1">
        <f>CEILING(B32/S4,1)</f>
        <v>2</v>
      </c>
      <c r="Y4">
        <f>CEILING(B30/T4,1)</f>
        <v>5</v>
      </c>
      <c r="AA4" s="46">
        <f>AA2</f>
        <v>2000</v>
      </c>
      <c r="AB4" s="43">
        <f>AA2/D4</f>
        <v>5</v>
      </c>
      <c r="AC4" s="43">
        <f t="shared" si="5"/>
        <v>3448</v>
      </c>
      <c r="AD4" s="42">
        <f t="shared" si="6"/>
        <v>5.67</v>
      </c>
      <c r="AE4" s="42">
        <v>3578</v>
      </c>
      <c r="AF4" s="42">
        <f t="shared" si="7"/>
        <v>17890</v>
      </c>
    </row>
    <row r="5" spans="1:37" x14ac:dyDescent="0.3">
      <c r="A5" t="s">
        <v>145</v>
      </c>
      <c r="B5">
        <v>1134</v>
      </c>
      <c r="C5">
        <v>1954</v>
      </c>
      <c r="D5">
        <v>500</v>
      </c>
      <c r="E5">
        <v>37.9</v>
      </c>
      <c r="F5">
        <v>45.02</v>
      </c>
      <c r="G5">
        <v>13.02</v>
      </c>
      <c r="H5">
        <v>14.05</v>
      </c>
      <c r="I5">
        <v>22.6</v>
      </c>
      <c r="J5" s="1">
        <f t="shared" si="0"/>
        <v>225.64846856897353</v>
      </c>
      <c r="K5" s="9">
        <v>0.22</v>
      </c>
      <c r="L5" s="11">
        <v>0.05</v>
      </c>
      <c r="M5" s="9">
        <v>0.26</v>
      </c>
      <c r="O5">
        <f t="shared" si="1"/>
        <v>4</v>
      </c>
      <c r="P5">
        <f t="shared" si="2"/>
        <v>2000</v>
      </c>
      <c r="Q5">
        <f t="shared" si="3"/>
        <v>180.08</v>
      </c>
      <c r="R5" s="1">
        <f t="shared" si="4"/>
        <v>151.6</v>
      </c>
      <c r="S5" s="1">
        <f>F5*(1+(B35-25)*(-K5%))</f>
        <v>43.237208000000003</v>
      </c>
      <c r="T5" s="1">
        <f>F5*(1+(B34-25)*(-K5%))</f>
        <v>49.476980000000005</v>
      </c>
      <c r="U5" s="9">
        <f>H5*(1+(B35-25)*(-L5%))</f>
        <v>13.923550000000001</v>
      </c>
      <c r="V5" s="1">
        <f>FLOOR(B28/U5,1)</f>
        <v>3</v>
      </c>
      <c r="W5" s="1">
        <f>FLOOR(B29/T5,1)</f>
        <v>4</v>
      </c>
      <c r="X5" s="1">
        <f>CEILING(B32/S5,1)</f>
        <v>2</v>
      </c>
      <c r="Y5">
        <f>CEILING(B30/T5,1)</f>
        <v>4</v>
      </c>
      <c r="AA5" s="46">
        <f>AA2</f>
        <v>2000</v>
      </c>
      <c r="AB5" s="43">
        <f>AA2/D5</f>
        <v>4</v>
      </c>
      <c r="AC5" s="43">
        <f t="shared" si="5"/>
        <v>3908</v>
      </c>
      <c r="AD5" s="42">
        <f t="shared" si="6"/>
        <v>4.5359999999999996</v>
      </c>
      <c r="AE5" s="42">
        <v>3789</v>
      </c>
      <c r="AF5" s="42">
        <f t="shared" si="7"/>
        <v>15156</v>
      </c>
    </row>
    <row r="6" spans="1:37" x14ac:dyDescent="0.3">
      <c r="A6" t="s">
        <v>146</v>
      </c>
      <c r="B6">
        <v>1134</v>
      </c>
      <c r="C6">
        <v>1722</v>
      </c>
      <c r="D6">
        <v>445</v>
      </c>
      <c r="E6">
        <v>33.6</v>
      </c>
      <c r="F6">
        <v>40.590000000000003</v>
      </c>
      <c r="G6">
        <v>13.25</v>
      </c>
      <c r="H6">
        <v>14.02</v>
      </c>
      <c r="I6">
        <v>22.8</v>
      </c>
      <c r="J6" s="1">
        <f t="shared" si="0"/>
        <v>227.8839870787219</v>
      </c>
      <c r="K6" s="9">
        <v>0.22</v>
      </c>
      <c r="L6" s="11">
        <v>0.05</v>
      </c>
      <c r="M6" s="9">
        <v>0.26</v>
      </c>
      <c r="O6">
        <f t="shared" si="1"/>
        <v>5</v>
      </c>
      <c r="P6">
        <f t="shared" si="2"/>
        <v>2225</v>
      </c>
      <c r="Q6">
        <f t="shared" si="3"/>
        <v>202.95000000000002</v>
      </c>
      <c r="R6" s="1">
        <f t="shared" si="4"/>
        <v>168</v>
      </c>
      <c r="S6" s="1">
        <f>F6*(1+(B35-25)*(-K6%))</f>
        <v>38.982636000000007</v>
      </c>
      <c r="T6" s="1">
        <f>F6*(1+(B34-25)*(-K6%))</f>
        <v>44.608410000000006</v>
      </c>
      <c r="U6" s="9">
        <f>H6*(1+(B35-25)*(-L6%))</f>
        <v>13.89382</v>
      </c>
      <c r="V6" s="1">
        <f>FLOOR(B28/U6,1)</f>
        <v>3</v>
      </c>
      <c r="W6" s="1">
        <f>FLOOR(B29/T6,1)</f>
        <v>4</v>
      </c>
      <c r="X6" s="1">
        <f>CEILING(B32/S6,1)</f>
        <v>2</v>
      </c>
      <c r="Y6">
        <f>CEILING(B30/T6,1)</f>
        <v>5</v>
      </c>
      <c r="AA6" s="46">
        <f>AA2</f>
        <v>2000</v>
      </c>
      <c r="AB6" s="43">
        <f>AA2/D6</f>
        <v>4.4943820224719104</v>
      </c>
      <c r="AC6" s="43">
        <f t="shared" si="5"/>
        <v>3444</v>
      </c>
      <c r="AD6" s="42">
        <f t="shared" si="6"/>
        <v>5.67</v>
      </c>
      <c r="AE6" s="42">
        <v>2306</v>
      </c>
      <c r="AF6" s="42">
        <f t="shared" si="7"/>
        <v>11530</v>
      </c>
    </row>
    <row r="7" spans="1:37" x14ac:dyDescent="0.3">
      <c r="A7" t="s">
        <v>159</v>
      </c>
      <c r="B7">
        <v>1134</v>
      </c>
      <c r="C7">
        <v>1757</v>
      </c>
      <c r="D7">
        <v>470</v>
      </c>
      <c r="E7">
        <v>33.9</v>
      </c>
      <c r="F7">
        <v>40.89</v>
      </c>
      <c r="G7">
        <v>13.87</v>
      </c>
      <c r="H7">
        <v>14.61</v>
      </c>
      <c r="I7">
        <v>23.6</v>
      </c>
      <c r="J7" s="1">
        <f t="shared" si="0"/>
        <v>235.89190730150702</v>
      </c>
      <c r="K7" s="9">
        <v>0.22</v>
      </c>
      <c r="L7" s="11">
        <v>0.05</v>
      </c>
      <c r="M7" s="9">
        <v>0.26</v>
      </c>
      <c r="O7">
        <f>CEILING(AB7,1)</f>
        <v>5</v>
      </c>
      <c r="P7">
        <f t="shared" si="2"/>
        <v>2350</v>
      </c>
      <c r="Q7">
        <f t="shared" si="3"/>
        <v>204.45</v>
      </c>
      <c r="R7" s="1">
        <f t="shared" si="4"/>
        <v>169.5</v>
      </c>
      <c r="S7" s="1">
        <f>F7*(1+(B35-25)*(-K7%))</f>
        <v>39.270755999999999</v>
      </c>
      <c r="T7" s="1">
        <f>F7*(1+(B34-25)*(-K7%))</f>
        <v>44.938110000000002</v>
      </c>
      <c r="U7" s="9">
        <f>H7*(1+(B35-25)*(-L7%))</f>
        <v>14.47851</v>
      </c>
      <c r="V7" s="1">
        <f>FLOOR(B28/U7,1)</f>
        <v>3</v>
      </c>
      <c r="W7" s="1">
        <f>FLOOR(B29/T7,1)</f>
        <v>4</v>
      </c>
      <c r="X7" s="1">
        <f>CEILING(B32/S7,1)</f>
        <v>2</v>
      </c>
      <c r="Y7">
        <f>CEILING(B30/T7,1)</f>
        <v>5</v>
      </c>
      <c r="AA7" s="46">
        <f>AA2</f>
        <v>2000</v>
      </c>
      <c r="AB7" s="43">
        <f>AA2/D6</f>
        <v>4.4943820224719104</v>
      </c>
      <c r="AC7" s="43">
        <f t="shared" si="5"/>
        <v>3514</v>
      </c>
      <c r="AD7" s="42">
        <f t="shared" si="6"/>
        <v>5.67</v>
      </c>
      <c r="AE7" s="42">
        <v>3625</v>
      </c>
      <c r="AF7" s="42">
        <f t="shared" si="7"/>
        <v>18125</v>
      </c>
    </row>
    <row r="8" spans="1:37" x14ac:dyDescent="0.3">
      <c r="A8" t="s">
        <v>20</v>
      </c>
      <c r="B8">
        <v>1134</v>
      </c>
      <c r="C8">
        <v>1722</v>
      </c>
      <c r="D8">
        <v>450</v>
      </c>
      <c r="E8">
        <v>33.89</v>
      </c>
      <c r="F8">
        <v>40.25</v>
      </c>
      <c r="G8">
        <v>13.28</v>
      </c>
      <c r="H8">
        <v>13.66</v>
      </c>
      <c r="I8">
        <v>23</v>
      </c>
      <c r="J8" s="1">
        <f t="shared" si="0"/>
        <v>230.44448131556146</v>
      </c>
      <c r="K8" s="9">
        <v>0.24</v>
      </c>
      <c r="L8" s="11">
        <v>0.05</v>
      </c>
      <c r="M8" s="9">
        <v>0.28999999999999998</v>
      </c>
      <c r="O8">
        <f t="shared" si="1"/>
        <v>5</v>
      </c>
      <c r="P8">
        <f t="shared" si="2"/>
        <v>2250</v>
      </c>
      <c r="Q8">
        <f t="shared" si="3"/>
        <v>201.25</v>
      </c>
      <c r="R8" s="1">
        <f t="shared" si="4"/>
        <v>169.45</v>
      </c>
      <c r="S8" s="1">
        <f>F8*(1+(B35-25)*(-K8%))</f>
        <v>38.511200000000002</v>
      </c>
      <c r="T8" s="1">
        <f>F8*(1+(B34-25)*(-K8%))</f>
        <v>44.597000000000001</v>
      </c>
      <c r="U8" s="9">
        <f>H8*(1+(B35-25)*(-L8%))</f>
        <v>13.53706</v>
      </c>
      <c r="V8" s="1">
        <f>FLOOR(B28/U8,1)</f>
        <v>3</v>
      </c>
      <c r="W8" s="1">
        <f>FLOOR(B29/T8,1)</f>
        <v>4</v>
      </c>
      <c r="X8" s="1">
        <f>CEILING(B32/S8,1)</f>
        <v>2</v>
      </c>
      <c r="Y8">
        <f>CEILING(B30/T8,1)</f>
        <v>5</v>
      </c>
      <c r="AA8" s="46">
        <f>AA2</f>
        <v>2000</v>
      </c>
      <c r="AB8" s="43">
        <f>AA2/D8</f>
        <v>4.4444444444444446</v>
      </c>
      <c r="AC8" s="43">
        <f t="shared" si="5"/>
        <v>3444</v>
      </c>
      <c r="AD8" s="42">
        <f t="shared" si="6"/>
        <v>5.67</v>
      </c>
      <c r="AE8" s="42">
        <v>4491</v>
      </c>
      <c r="AF8" s="42">
        <f t="shared" si="7"/>
        <v>22455</v>
      </c>
    </row>
    <row r="9" spans="1:37" x14ac:dyDescent="0.3">
      <c r="A9" t="s">
        <v>22</v>
      </c>
      <c r="B9">
        <v>1134</v>
      </c>
      <c r="C9">
        <v>1722</v>
      </c>
      <c r="D9">
        <v>440</v>
      </c>
      <c r="E9">
        <v>33.5</v>
      </c>
      <c r="F9">
        <v>40.49</v>
      </c>
      <c r="G9">
        <v>13.14</v>
      </c>
      <c r="H9">
        <v>13.91</v>
      </c>
      <c r="I9">
        <v>22.5</v>
      </c>
      <c r="J9" s="1">
        <f t="shared" si="0"/>
        <v>225.32349284188231</v>
      </c>
      <c r="K9" s="9">
        <v>0.22</v>
      </c>
      <c r="L9" s="11">
        <v>0.05</v>
      </c>
      <c r="M9" s="9">
        <v>0.26</v>
      </c>
      <c r="O9">
        <f t="shared" si="1"/>
        <v>5</v>
      </c>
      <c r="P9">
        <f t="shared" si="2"/>
        <v>2200</v>
      </c>
      <c r="Q9">
        <f t="shared" si="3"/>
        <v>202.45000000000002</v>
      </c>
      <c r="R9" s="1">
        <f t="shared" si="4"/>
        <v>167.5</v>
      </c>
      <c r="S9" s="1">
        <f>F9*(1+(B35-25)*(-K9%))</f>
        <v>38.886596000000004</v>
      </c>
      <c r="T9" s="1">
        <f>F9*(1+(B34-25)*(-K9%))</f>
        <v>44.498510000000003</v>
      </c>
      <c r="U9" s="9">
        <f>H9*(1+(B35-25)*(-L9%))</f>
        <v>13.78481</v>
      </c>
      <c r="V9" s="1">
        <f>FLOOR(B28/U9,1)</f>
        <v>3</v>
      </c>
      <c r="W9" s="1">
        <f>FLOOR(B29/T9,1)</f>
        <v>4</v>
      </c>
      <c r="X9" s="1">
        <f>CEILING(B32/S9,1)</f>
        <v>2</v>
      </c>
      <c r="Y9">
        <f>CEILING(B30/T9,1)</f>
        <v>5</v>
      </c>
      <c r="AA9" s="46">
        <f>AA2</f>
        <v>2000</v>
      </c>
      <c r="AB9" s="43">
        <f>AA2/D9</f>
        <v>4.5454545454545459</v>
      </c>
      <c r="AC9" s="43">
        <f t="shared" si="5"/>
        <v>3444</v>
      </c>
      <c r="AD9" s="42">
        <f t="shared" si="6"/>
        <v>5.67</v>
      </c>
      <c r="AE9" s="42">
        <v>2014</v>
      </c>
      <c r="AF9" s="42">
        <f t="shared" si="7"/>
        <v>10070</v>
      </c>
    </row>
    <row r="10" spans="1:37" x14ac:dyDescent="0.3">
      <c r="A10" t="s">
        <v>17</v>
      </c>
      <c r="B10">
        <v>1134</v>
      </c>
      <c r="C10">
        <v>1762</v>
      </c>
      <c r="D10">
        <v>435</v>
      </c>
      <c r="E10">
        <v>32.78</v>
      </c>
      <c r="F10">
        <v>39.36</v>
      </c>
      <c r="G10">
        <v>13.27</v>
      </c>
      <c r="H10">
        <v>13.72</v>
      </c>
      <c r="I10">
        <v>21.77</v>
      </c>
      <c r="J10" s="1">
        <f t="shared" si="0"/>
        <v>217.7059498285378</v>
      </c>
      <c r="K10" s="9">
        <v>0.25</v>
      </c>
      <c r="L10" s="11">
        <v>4.4999999999999998E-2</v>
      </c>
      <c r="M10" s="9">
        <v>0.28999999999999998</v>
      </c>
      <c r="O10">
        <f t="shared" si="1"/>
        <v>5</v>
      </c>
      <c r="P10">
        <f t="shared" si="2"/>
        <v>2175</v>
      </c>
      <c r="Q10">
        <f t="shared" si="3"/>
        <v>196.8</v>
      </c>
      <c r="R10" s="1">
        <f t="shared" si="4"/>
        <v>163.9</v>
      </c>
      <c r="S10" s="1">
        <f>F10*(1+(B35-25)*(-K10%))</f>
        <v>37.588799999999999</v>
      </c>
      <c r="T10" s="1">
        <f>F10*(1+(BF44-25)*(-K10%))</f>
        <v>41.82</v>
      </c>
      <c r="U10" s="9">
        <f>H10*(1+(B35-25)*(-L10%))</f>
        <v>13.608868000000001</v>
      </c>
      <c r="V10" s="1">
        <f>FLOOR(B28/U10,1)</f>
        <v>3</v>
      </c>
      <c r="W10" s="1">
        <f>FLOOR(B29/T10,1)</f>
        <v>4</v>
      </c>
      <c r="X10" s="1">
        <f>CEILING(B32/S10,1)</f>
        <v>2</v>
      </c>
      <c r="Y10">
        <f>CEILING(B30/T10,1)</f>
        <v>5</v>
      </c>
      <c r="AA10" s="46">
        <f>AA2</f>
        <v>2000</v>
      </c>
      <c r="AB10" s="43">
        <f>AA2/D10</f>
        <v>4.5977011494252871</v>
      </c>
      <c r="AC10" s="43">
        <f t="shared" si="5"/>
        <v>3524</v>
      </c>
      <c r="AD10" s="42">
        <f t="shared" si="6"/>
        <v>5.67</v>
      </c>
      <c r="AE10" s="42">
        <v>1900</v>
      </c>
      <c r="AF10" s="42">
        <f t="shared" si="7"/>
        <v>9500</v>
      </c>
    </row>
    <row r="11" spans="1:37" x14ac:dyDescent="0.3">
      <c r="A11" t="s">
        <v>19</v>
      </c>
      <c r="B11">
        <v>1134</v>
      </c>
      <c r="C11">
        <v>1722</v>
      </c>
      <c r="D11">
        <v>395</v>
      </c>
      <c r="E11">
        <v>30.84</v>
      </c>
      <c r="F11">
        <v>36.979999999999997</v>
      </c>
      <c r="G11">
        <v>12.81</v>
      </c>
      <c r="H11">
        <v>13.7</v>
      </c>
      <c r="I11">
        <v>20.2</v>
      </c>
      <c r="J11" s="1">
        <f t="shared" si="0"/>
        <v>202.27904471032616</v>
      </c>
      <c r="K11" s="9">
        <v>0.27500000000000002</v>
      </c>
      <c r="L11" s="11">
        <v>4.4999999999999998E-2</v>
      </c>
      <c r="M11" s="9">
        <v>0.35</v>
      </c>
      <c r="O11">
        <f t="shared" si="1"/>
        <v>6</v>
      </c>
      <c r="P11">
        <f t="shared" si="2"/>
        <v>2370</v>
      </c>
      <c r="Q11">
        <f t="shared" si="3"/>
        <v>221.88</v>
      </c>
      <c r="R11" s="1">
        <f t="shared" si="4"/>
        <v>185.04</v>
      </c>
      <c r="S11" s="1">
        <f>F11*(1+(B35-25)*(-K11%))</f>
        <v>35.14949</v>
      </c>
      <c r="T11" s="1">
        <f>F11*(1+(B34-25)*(-K11%))</f>
        <v>41.556274999999999</v>
      </c>
      <c r="U11" s="9">
        <f>H11*(1+(B35-25)*(-L11%))</f>
        <v>13.589029999999999</v>
      </c>
      <c r="V11" s="1">
        <f>FLOOR(B28/U11,1)</f>
        <v>3</v>
      </c>
      <c r="W11" s="1">
        <f>FLOOR(B29/T11,1)</f>
        <v>4</v>
      </c>
      <c r="X11" s="1">
        <f>CEILING(B32/S11,1)</f>
        <v>2</v>
      </c>
      <c r="Y11">
        <f>CEILING(B30/T11,1)</f>
        <v>5</v>
      </c>
      <c r="AA11" s="46">
        <f>AA2</f>
        <v>2000</v>
      </c>
      <c r="AB11" s="43">
        <f>AA2/D11</f>
        <v>5.0632911392405067</v>
      </c>
      <c r="AC11" s="43">
        <f t="shared" si="5"/>
        <v>3444</v>
      </c>
      <c r="AD11" s="42">
        <f t="shared" si="6"/>
        <v>6.8040000000000003</v>
      </c>
      <c r="AE11" s="42">
        <v>1755</v>
      </c>
      <c r="AF11" s="42">
        <f t="shared" si="7"/>
        <v>10530</v>
      </c>
    </row>
    <row r="12" spans="1:37" x14ac:dyDescent="0.3">
      <c r="A12" t="s">
        <v>119</v>
      </c>
      <c r="B12">
        <v>1052</v>
      </c>
      <c r="C12">
        <v>2112</v>
      </c>
      <c r="D12">
        <v>465</v>
      </c>
      <c r="E12">
        <v>42.43</v>
      </c>
      <c r="F12">
        <v>50.15</v>
      </c>
      <c r="G12">
        <v>10.96</v>
      </c>
      <c r="H12">
        <v>11.49</v>
      </c>
      <c r="I12">
        <v>20.9</v>
      </c>
      <c r="J12" s="1">
        <f t="shared" si="0"/>
        <v>209.2875043207743</v>
      </c>
      <c r="K12" s="9">
        <v>0.27200000000000002</v>
      </c>
      <c r="L12" s="11">
        <v>4.3999999999999997E-2</v>
      </c>
      <c r="M12" s="9">
        <v>0.35</v>
      </c>
      <c r="O12">
        <f t="shared" si="1"/>
        <v>5</v>
      </c>
      <c r="P12">
        <f t="shared" si="2"/>
        <v>2325</v>
      </c>
      <c r="Q12">
        <f t="shared" si="3"/>
        <v>250.75</v>
      </c>
      <c r="R12" s="1">
        <f t="shared" si="4"/>
        <v>212.15</v>
      </c>
      <c r="S12" s="1">
        <f>F12*(1+(B35-25)*(-K12%))</f>
        <v>47.694656000000002</v>
      </c>
      <c r="T12" s="1">
        <f>F12*(1+(B34-25)*(-K12%))</f>
        <v>56.288360000000004</v>
      </c>
      <c r="U12" s="9">
        <f>H12*(1+(B35-25)*(-L12%))</f>
        <v>11.3989992</v>
      </c>
      <c r="V12" s="1">
        <f>FLOOR(B28/U12,1)</f>
        <v>4</v>
      </c>
      <c r="W12" s="1">
        <f>FLOOR(B29/T12,1)</f>
        <v>3</v>
      </c>
      <c r="X12" s="1">
        <f>CEILING(B32/S12,1)</f>
        <v>2</v>
      </c>
      <c r="Y12">
        <f>CEILING(B30/T12,1)</f>
        <v>4</v>
      </c>
      <c r="AA12" s="46">
        <f>AA2</f>
        <v>2000</v>
      </c>
      <c r="AB12" s="43">
        <f>AA3/D12</f>
        <v>4.301075268817204</v>
      </c>
      <c r="AC12" s="43">
        <f t="shared" si="5"/>
        <v>4224</v>
      </c>
      <c r="AD12" s="42">
        <f t="shared" si="6"/>
        <v>5.26</v>
      </c>
      <c r="AE12" s="42">
        <v>2500</v>
      </c>
      <c r="AF12" s="42">
        <f t="shared" si="7"/>
        <v>12500</v>
      </c>
    </row>
    <row r="13" spans="1:37" x14ac:dyDescent="0.3">
      <c r="A13" t="s">
        <v>126</v>
      </c>
      <c r="B13">
        <v>1134</v>
      </c>
      <c r="C13">
        <v>1722</v>
      </c>
      <c r="D13">
        <v>435</v>
      </c>
      <c r="E13">
        <v>32.200000000000003</v>
      </c>
      <c r="F13">
        <v>39.200000000000003</v>
      </c>
      <c r="G13">
        <v>13.51</v>
      </c>
      <c r="H13">
        <v>13.94</v>
      </c>
      <c r="I13">
        <v>22.3</v>
      </c>
      <c r="J13" s="1">
        <f t="shared" si="0"/>
        <v>222.76299860504275</v>
      </c>
      <c r="K13" s="9">
        <v>0.25</v>
      </c>
      <c r="L13" s="11">
        <v>0.05</v>
      </c>
      <c r="M13" s="9">
        <v>0.28999999999999998</v>
      </c>
      <c r="O13">
        <f t="shared" si="1"/>
        <v>5</v>
      </c>
      <c r="P13">
        <f t="shared" si="2"/>
        <v>2175</v>
      </c>
      <c r="Q13">
        <f t="shared" si="3"/>
        <v>196</v>
      </c>
      <c r="R13" s="1">
        <f t="shared" si="4"/>
        <v>161</v>
      </c>
      <c r="S13" s="1">
        <f>F13*(1+(B35-25)*(-K13%))</f>
        <v>37.436</v>
      </c>
      <c r="T13" s="1">
        <f>F13*(1+(B34-25)*(-K13%))</f>
        <v>43.610000000000007</v>
      </c>
      <c r="U13" s="9">
        <f>H13*(1+(B35-25)*(-L13%))</f>
        <v>13.814539999999999</v>
      </c>
      <c r="V13" s="1">
        <f>FLOOR(B28/U13,1)</f>
        <v>3</v>
      </c>
      <c r="W13" s="1">
        <f>FLOOR(B29/T13,1)</f>
        <v>4</v>
      </c>
      <c r="X13" s="1">
        <f>CEILING(B32/S13,1)</f>
        <v>2</v>
      </c>
      <c r="Y13">
        <f>CEILING(B30/T13,1)</f>
        <v>5</v>
      </c>
      <c r="AA13" s="46">
        <f>AA2</f>
        <v>2000</v>
      </c>
      <c r="AB13" s="43">
        <f>AA2/D13</f>
        <v>4.5977011494252871</v>
      </c>
      <c r="AC13" s="43">
        <f t="shared" si="5"/>
        <v>3444</v>
      </c>
      <c r="AD13" s="42">
        <f t="shared" si="6"/>
        <v>5.67</v>
      </c>
      <c r="AE13" s="42">
        <v>2102</v>
      </c>
      <c r="AF13" s="42">
        <f t="shared" si="7"/>
        <v>10510</v>
      </c>
    </row>
    <row r="14" spans="1:37" x14ac:dyDescent="0.3">
      <c r="A14" t="s">
        <v>31</v>
      </c>
      <c r="B14">
        <v>1038</v>
      </c>
      <c r="C14">
        <v>1755</v>
      </c>
      <c r="D14">
        <v>380</v>
      </c>
      <c r="E14">
        <v>34.6</v>
      </c>
      <c r="F14">
        <v>41.4</v>
      </c>
      <c r="G14">
        <v>10.98</v>
      </c>
      <c r="H14">
        <v>11.48</v>
      </c>
      <c r="I14">
        <v>20.86</v>
      </c>
      <c r="J14" s="1">
        <f t="shared" si="0"/>
        <v>208.59751110232804</v>
      </c>
      <c r="K14" s="9">
        <v>0.31</v>
      </c>
      <c r="L14" s="11">
        <v>0.5</v>
      </c>
      <c r="M14" s="9">
        <v>0.35</v>
      </c>
      <c r="O14">
        <f t="shared" si="1"/>
        <v>6</v>
      </c>
      <c r="P14">
        <f t="shared" si="2"/>
        <v>2280</v>
      </c>
      <c r="Q14">
        <f t="shared" si="3"/>
        <v>248.39999999999998</v>
      </c>
      <c r="R14" s="1">
        <f t="shared" si="4"/>
        <v>207.60000000000002</v>
      </c>
      <c r="S14" s="1">
        <f>F14*(1+(B35-25)*(-K14%))</f>
        <v>39.089880000000001</v>
      </c>
      <c r="T14" s="1">
        <f>F14*(1+(B34-25)*(-K14%))</f>
        <v>47.1753</v>
      </c>
      <c r="U14" s="9">
        <f>H14*(1+(B35-25)*(-L14%))</f>
        <v>10.446800000000001</v>
      </c>
      <c r="V14" s="1">
        <f>FLOOR(B28/U14,1)</f>
        <v>4</v>
      </c>
      <c r="W14" s="1">
        <f>FLOOR(B29/T14,1)</f>
        <v>4</v>
      </c>
      <c r="X14" s="1">
        <f>CEILING(B32/S14,1)</f>
        <v>2</v>
      </c>
      <c r="Y14">
        <f>CEILING(B30/T14,1)</f>
        <v>4</v>
      </c>
      <c r="AA14" s="46">
        <f>AA2</f>
        <v>2000</v>
      </c>
      <c r="AB14" s="43">
        <f>AA2/D14</f>
        <v>5.2631578947368425</v>
      </c>
      <c r="AC14" s="43">
        <f t="shared" si="5"/>
        <v>3510</v>
      </c>
      <c r="AD14" s="42">
        <f t="shared" si="6"/>
        <v>6.2279999999999998</v>
      </c>
      <c r="AE14" s="42">
        <v>2507</v>
      </c>
      <c r="AF14" s="42">
        <f t="shared" si="7"/>
        <v>15042</v>
      </c>
    </row>
    <row r="15" spans="1:37" x14ac:dyDescent="0.3">
      <c r="A15" t="s">
        <v>32</v>
      </c>
      <c r="B15">
        <v>1134</v>
      </c>
      <c r="C15">
        <v>1903</v>
      </c>
      <c r="D15">
        <v>485</v>
      </c>
      <c r="E15">
        <v>36.6</v>
      </c>
      <c r="F15">
        <v>43</v>
      </c>
      <c r="G15">
        <v>13.25</v>
      </c>
      <c r="H15">
        <v>14.08</v>
      </c>
      <c r="I15">
        <v>22.47</v>
      </c>
      <c r="J15" s="1">
        <f t="shared" si="0"/>
        <v>224.74492609367366</v>
      </c>
      <c r="K15" s="9">
        <v>0.25</v>
      </c>
      <c r="L15" s="11">
        <v>4.5999999999999999E-2</v>
      </c>
      <c r="M15" s="9">
        <v>0.28999999999999998</v>
      </c>
      <c r="O15">
        <f t="shared" si="1"/>
        <v>5</v>
      </c>
      <c r="P15">
        <f t="shared" si="2"/>
        <v>2425</v>
      </c>
      <c r="Q15">
        <f t="shared" si="3"/>
        <v>215</v>
      </c>
      <c r="R15" s="1">
        <f t="shared" si="4"/>
        <v>183</v>
      </c>
      <c r="S15" s="1">
        <f>F15*(1+(B35-25)*(-K15%))</f>
        <v>41.064999999999998</v>
      </c>
      <c r="T15" s="1">
        <f>F15*(1+(B34-25)*(-K15%))</f>
        <v>47.837499999999999</v>
      </c>
      <c r="U15" s="9">
        <f>H15*(1+(B35-25)*(-L15%))</f>
        <v>13.963417600000001</v>
      </c>
      <c r="V15" s="1">
        <f>FLOOR(B28/U15,1)</f>
        <v>3</v>
      </c>
      <c r="W15" s="1">
        <f>FLOOR(B29/T15,1)</f>
        <v>4</v>
      </c>
      <c r="X15" s="1">
        <f>CEILING(B32/S15,1)</f>
        <v>2</v>
      </c>
      <c r="Y15">
        <f>CEILING(B30/T15,1)</f>
        <v>4</v>
      </c>
      <c r="AA15" s="46">
        <f>AA2</f>
        <v>2000</v>
      </c>
      <c r="AB15" s="43">
        <f>AA2/D15</f>
        <v>4.1237113402061851</v>
      </c>
      <c r="AC15" s="43">
        <f t="shared" si="5"/>
        <v>3806</v>
      </c>
      <c r="AD15" s="42">
        <f t="shared" si="6"/>
        <v>5.67</v>
      </c>
      <c r="AE15" s="42">
        <v>2350</v>
      </c>
      <c r="AF15" s="42">
        <f t="shared" si="7"/>
        <v>11750</v>
      </c>
      <c r="AI15" s="42"/>
      <c r="AJ15" s="42"/>
      <c r="AK15" s="42"/>
    </row>
    <row r="16" spans="1:37" s="42" customFormat="1" x14ac:dyDescent="0.3">
      <c r="A16" s="42" t="s">
        <v>33</v>
      </c>
      <c r="B16" s="42">
        <v>1134</v>
      </c>
      <c r="C16" s="42">
        <v>1762</v>
      </c>
      <c r="D16" s="42">
        <v>440</v>
      </c>
      <c r="E16" s="42">
        <v>44</v>
      </c>
      <c r="F16" s="42">
        <v>52.2</v>
      </c>
      <c r="G16" s="42">
        <v>10.01</v>
      </c>
      <c r="H16" s="42">
        <v>10.67</v>
      </c>
      <c r="I16" s="42">
        <v>22</v>
      </c>
      <c r="J16" s="43">
        <f t="shared" si="0"/>
        <v>220.20831706794627</v>
      </c>
      <c r="K16" s="44">
        <v>0.24</v>
      </c>
      <c r="L16" s="45">
        <v>0.04</v>
      </c>
      <c r="M16" s="44">
        <v>0.28999999999999998</v>
      </c>
      <c r="O16" s="42">
        <f t="shared" si="1"/>
        <v>5</v>
      </c>
      <c r="P16" s="42">
        <f t="shared" si="2"/>
        <v>2200</v>
      </c>
      <c r="Q16" s="42">
        <f t="shared" si="3"/>
        <v>261</v>
      </c>
      <c r="R16" s="43">
        <f t="shared" si="4"/>
        <v>220</v>
      </c>
      <c r="S16" s="43">
        <f>F16*(1+(B35-25)*(-K16%))</f>
        <v>49.944960000000002</v>
      </c>
      <c r="T16" s="43">
        <f>F16*(1+(B34-25)*(-K16%))</f>
        <v>57.837600000000009</v>
      </c>
      <c r="U16" s="44">
        <f>H16*(1+(B35-25)*(-L16%))</f>
        <v>10.593176</v>
      </c>
      <c r="V16" s="43">
        <f>FLOOR(B28/U16,1)</f>
        <v>4</v>
      </c>
      <c r="W16" s="43">
        <f>FLOOR(B29/T16,1)</f>
        <v>3</v>
      </c>
      <c r="X16" s="43">
        <f>CEILING(B32/S16,1)</f>
        <v>2</v>
      </c>
      <c r="Y16" s="42">
        <f>CEILING(B30/T16,1)</f>
        <v>4</v>
      </c>
      <c r="AA16" s="46">
        <f>AA2</f>
        <v>2000</v>
      </c>
      <c r="AB16" s="43">
        <f>AA2/D16</f>
        <v>4.5454545454545459</v>
      </c>
      <c r="AC16" s="43">
        <f t="shared" si="5"/>
        <v>3524</v>
      </c>
      <c r="AD16" s="42">
        <f t="shared" si="6"/>
        <v>5.67</v>
      </c>
      <c r="AE16" s="42">
        <v>2457</v>
      </c>
      <c r="AF16" s="42">
        <f t="shared" si="7"/>
        <v>12285</v>
      </c>
    </row>
    <row r="17" spans="1:37" s="3" customFormat="1" x14ac:dyDescent="0.3">
      <c r="A17" s="6" t="s">
        <v>34</v>
      </c>
      <c r="B17" s="3">
        <v>1134</v>
      </c>
      <c r="C17" s="3">
        <v>1762</v>
      </c>
      <c r="D17" s="3">
        <v>450</v>
      </c>
      <c r="E17" s="3">
        <v>44.6</v>
      </c>
      <c r="F17" s="3">
        <v>52.9</v>
      </c>
      <c r="G17" s="3">
        <v>10.09</v>
      </c>
      <c r="H17" s="3">
        <v>10.74</v>
      </c>
      <c r="I17" s="3">
        <v>22.5</v>
      </c>
      <c r="J17" s="4">
        <f t="shared" si="0"/>
        <v>225.21305154676324</v>
      </c>
      <c r="K17" s="10">
        <v>0.24</v>
      </c>
      <c r="L17" s="12">
        <v>0.04</v>
      </c>
      <c r="M17" s="10">
        <v>0.28999999999999998</v>
      </c>
      <c r="O17" s="3">
        <f t="shared" si="1"/>
        <v>5</v>
      </c>
      <c r="P17" s="3">
        <f t="shared" si="2"/>
        <v>2250</v>
      </c>
      <c r="Q17" s="3">
        <f t="shared" si="3"/>
        <v>264.5</v>
      </c>
      <c r="R17" s="4">
        <f t="shared" si="4"/>
        <v>223</v>
      </c>
      <c r="S17" s="4">
        <f>F17*(1+(B35-25)*(-K17%))</f>
        <v>50.614719999999998</v>
      </c>
      <c r="T17" s="4">
        <f>F17*(1+(B34-25)*(-K17%))</f>
        <v>58.613200000000006</v>
      </c>
      <c r="U17" s="10">
        <f>H17*(1+(B35-25)*(-L17%))</f>
        <v>10.662672000000001</v>
      </c>
      <c r="V17" s="4">
        <f>FLOOR(B28/U17,1)</f>
        <v>4</v>
      </c>
      <c r="W17" s="4">
        <f>FLOOR(B29/T17,1)</f>
        <v>3</v>
      </c>
      <c r="X17" s="4">
        <f>CEILING(B32/S17,1)</f>
        <v>1</v>
      </c>
      <c r="Y17" s="3">
        <f>CEILING(B30/T17,1)</f>
        <v>4</v>
      </c>
      <c r="AA17" s="5">
        <f>AA2</f>
        <v>2000</v>
      </c>
      <c r="AB17" s="4">
        <f>AA2/D17</f>
        <v>4.4444444444444446</v>
      </c>
      <c r="AC17" s="4">
        <f t="shared" si="5"/>
        <v>3524</v>
      </c>
      <c r="AD17" s="3">
        <f t="shared" si="6"/>
        <v>5.67</v>
      </c>
      <c r="AE17" s="3">
        <v>2458</v>
      </c>
      <c r="AF17" s="3">
        <f t="shared" si="7"/>
        <v>12290</v>
      </c>
      <c r="AG17"/>
      <c r="AH17"/>
      <c r="AI17" s="42"/>
      <c r="AJ17" s="42"/>
      <c r="AK17" s="42"/>
    </row>
    <row r="18" spans="1:37" s="42" customFormat="1" x14ac:dyDescent="0.3">
      <c r="A18" s="42" t="s">
        <v>35</v>
      </c>
      <c r="B18" s="42">
        <v>1134</v>
      </c>
      <c r="C18" s="42">
        <v>1762</v>
      </c>
      <c r="D18" s="42">
        <v>435</v>
      </c>
      <c r="E18" s="42">
        <v>43.6</v>
      </c>
      <c r="F18" s="42">
        <v>51.8</v>
      </c>
      <c r="G18" s="42">
        <v>9.99</v>
      </c>
      <c r="H18" s="42">
        <v>10.64</v>
      </c>
      <c r="I18" s="42">
        <v>21.8</v>
      </c>
      <c r="J18" s="43">
        <f t="shared" si="0"/>
        <v>217.7059498285378</v>
      </c>
      <c r="K18" s="44">
        <v>0.24</v>
      </c>
      <c r="L18" s="45">
        <v>0.04</v>
      </c>
      <c r="M18" s="44">
        <v>0.28999999999999998</v>
      </c>
      <c r="O18" s="42">
        <f t="shared" si="1"/>
        <v>5</v>
      </c>
      <c r="P18" s="42">
        <f t="shared" si="2"/>
        <v>2175</v>
      </c>
      <c r="Q18" s="42">
        <f t="shared" si="3"/>
        <v>259</v>
      </c>
      <c r="R18" s="43">
        <f t="shared" si="4"/>
        <v>218</v>
      </c>
      <c r="S18" s="43">
        <f>F18*(1+(B35-25)*(-K18%))</f>
        <v>49.562239999999996</v>
      </c>
      <c r="T18" s="43">
        <f>F18*(1+(B34-25)*(-K18%))</f>
        <v>57.394400000000005</v>
      </c>
      <c r="U18" s="44">
        <f>H18*(1+(B35-25)*(-L18%))</f>
        <v>10.563392</v>
      </c>
      <c r="V18" s="43">
        <f>FLOOR(B28/U18,1)</f>
        <v>4</v>
      </c>
      <c r="W18" s="43">
        <f>FLOOR(B29/T18,1)</f>
        <v>3</v>
      </c>
      <c r="X18" s="43">
        <f>CEILING(B32/S18,1)</f>
        <v>2</v>
      </c>
      <c r="Y18" s="42">
        <f>CEILING(B30/T18,1)</f>
        <v>4</v>
      </c>
      <c r="AA18" s="46">
        <f>AA2</f>
        <v>2000</v>
      </c>
      <c r="AB18" s="43">
        <f>AA2/D18</f>
        <v>4.5977011494252871</v>
      </c>
      <c r="AC18" s="43">
        <f t="shared" si="5"/>
        <v>3524</v>
      </c>
      <c r="AD18" s="42">
        <f t="shared" si="6"/>
        <v>5.67</v>
      </c>
      <c r="AE18" s="42">
        <v>2253</v>
      </c>
      <c r="AF18" s="42">
        <f t="shared" si="7"/>
        <v>11265</v>
      </c>
    </row>
    <row r="19" spans="1:37" x14ac:dyDescent="0.3">
      <c r="A19" t="s">
        <v>30</v>
      </c>
      <c r="B19">
        <v>1134</v>
      </c>
      <c r="C19">
        <v>1961</v>
      </c>
      <c r="D19">
        <v>490</v>
      </c>
      <c r="E19">
        <v>32.9</v>
      </c>
      <c r="F19">
        <v>39.6</v>
      </c>
      <c r="G19">
        <v>14.91</v>
      </c>
      <c r="H19">
        <v>15.8</v>
      </c>
      <c r="I19">
        <v>22</v>
      </c>
      <c r="J19" s="1">
        <f t="shared" si="0"/>
        <v>220.34613229581782</v>
      </c>
      <c r="K19" s="9">
        <v>0.24</v>
      </c>
      <c r="L19" s="11">
        <v>0.04</v>
      </c>
      <c r="M19" s="9">
        <v>0.28999999999999998</v>
      </c>
      <c r="O19">
        <f t="shared" si="1"/>
        <v>5</v>
      </c>
      <c r="P19">
        <f t="shared" si="2"/>
        <v>2450</v>
      </c>
      <c r="Q19">
        <f t="shared" si="3"/>
        <v>198</v>
      </c>
      <c r="R19" s="1">
        <f t="shared" si="4"/>
        <v>164.5</v>
      </c>
      <c r="S19" s="1">
        <f>F19*(1+(B35-25)*(-K19%))</f>
        <v>37.889279999999999</v>
      </c>
      <c r="T19" s="1">
        <f>F19*(1+(B34-25)*(-K19%))</f>
        <v>43.876800000000003</v>
      </c>
      <c r="U19" s="9">
        <f>H19*(1+(B35-25)*(-L19%))</f>
        <v>15.686240000000002</v>
      </c>
      <c r="V19" s="1">
        <f>FLOOR(B28/U19,1)</f>
        <v>3</v>
      </c>
      <c r="W19" s="1">
        <f>FLOOR(B29/T19,1)</f>
        <v>4</v>
      </c>
      <c r="X19" s="1">
        <f>CEILING(B32/S19,1)</f>
        <v>2</v>
      </c>
      <c r="Y19">
        <f>CEILING(B30/T19,1)</f>
        <v>5</v>
      </c>
      <c r="AA19" s="46">
        <f>AA2</f>
        <v>2000</v>
      </c>
      <c r="AB19" s="43">
        <f>AA2/D19</f>
        <v>4.0816326530612246</v>
      </c>
      <c r="AC19" s="43">
        <f t="shared" si="5"/>
        <v>3922</v>
      </c>
      <c r="AD19" s="42">
        <f t="shared" si="6"/>
        <v>5.67</v>
      </c>
      <c r="AE19" s="42">
        <v>2399</v>
      </c>
      <c r="AF19" s="42">
        <f t="shared" si="7"/>
        <v>11995</v>
      </c>
      <c r="AI19" s="42"/>
      <c r="AJ19" s="42"/>
      <c r="AK19" s="42"/>
    </row>
    <row r="20" spans="1:37" x14ac:dyDescent="0.3">
      <c r="A20" t="s">
        <v>21</v>
      </c>
      <c r="B20">
        <v>1134</v>
      </c>
      <c r="C20">
        <v>1762</v>
      </c>
      <c r="D20">
        <v>420</v>
      </c>
      <c r="E20">
        <v>41.3</v>
      </c>
      <c r="F20">
        <v>49.7</v>
      </c>
      <c r="G20">
        <v>10.17</v>
      </c>
      <c r="H20">
        <v>10.69</v>
      </c>
      <c r="I20">
        <v>21</v>
      </c>
      <c r="J20" s="1">
        <f t="shared" si="0"/>
        <v>210.19884811031235</v>
      </c>
      <c r="K20" s="9">
        <v>0.25</v>
      </c>
      <c r="L20" s="11">
        <v>0.04</v>
      </c>
      <c r="M20" s="9">
        <v>0.34</v>
      </c>
      <c r="O20">
        <f t="shared" si="1"/>
        <v>5</v>
      </c>
      <c r="P20">
        <f t="shared" si="2"/>
        <v>2100</v>
      </c>
      <c r="Q20">
        <f t="shared" si="3"/>
        <v>248.5</v>
      </c>
      <c r="R20" s="1">
        <f t="shared" si="4"/>
        <v>206.5</v>
      </c>
      <c r="S20" s="1">
        <f>F20*(1+(B35-25)*(-K20%))</f>
        <v>47.463500000000003</v>
      </c>
      <c r="T20" s="1">
        <f>F20*(1+(B34-25)*(-K20%))</f>
        <v>55.291250000000005</v>
      </c>
      <c r="U20" s="9">
        <f>H20*(1+(B35-25)*(-L20%))</f>
        <v>10.613032</v>
      </c>
      <c r="V20" s="1">
        <f>FLOOR(B28/U20,1)</f>
        <v>4</v>
      </c>
      <c r="W20" s="1">
        <f>FLOOR(B29/T20,1)</f>
        <v>3</v>
      </c>
      <c r="X20" s="1">
        <f>CEILING(B32/S20,1)</f>
        <v>2</v>
      </c>
      <c r="Y20">
        <f>CEILING(B30/T20,1)</f>
        <v>4</v>
      </c>
      <c r="AA20" s="46">
        <f>AA2</f>
        <v>2000</v>
      </c>
      <c r="AB20" s="43">
        <f>AA2/D20</f>
        <v>4.7619047619047619</v>
      </c>
      <c r="AC20" s="43">
        <f t="shared" si="5"/>
        <v>3524</v>
      </c>
      <c r="AD20" s="42">
        <f t="shared" si="6"/>
        <v>5.67</v>
      </c>
      <c r="AE20" s="42">
        <v>2489</v>
      </c>
      <c r="AF20" s="42">
        <f t="shared" si="7"/>
        <v>12445</v>
      </c>
    </row>
    <row r="21" spans="1:37" x14ac:dyDescent="0.3">
      <c r="A21" t="s">
        <v>117</v>
      </c>
      <c r="B21">
        <v>1134</v>
      </c>
      <c r="C21">
        <v>2279</v>
      </c>
      <c r="D21">
        <v>580</v>
      </c>
      <c r="E21">
        <v>42.19</v>
      </c>
      <c r="F21">
        <v>48.37</v>
      </c>
      <c r="G21">
        <v>13.75</v>
      </c>
      <c r="H21">
        <v>14.39</v>
      </c>
      <c r="I21">
        <v>22.46</v>
      </c>
      <c r="J21" s="1">
        <f t="shared" si="0"/>
        <v>224.42467959507599</v>
      </c>
      <c r="K21" s="9">
        <v>0.26</v>
      </c>
      <c r="L21" s="11">
        <v>4.5999999999999999E-2</v>
      </c>
      <c r="M21" s="9">
        <v>0.31</v>
      </c>
      <c r="O21">
        <f t="shared" si="1"/>
        <v>4</v>
      </c>
      <c r="P21">
        <f t="shared" si="2"/>
        <v>2320</v>
      </c>
      <c r="Q21">
        <f t="shared" si="3"/>
        <v>193.48</v>
      </c>
      <c r="R21" s="1">
        <f t="shared" si="4"/>
        <v>168.76</v>
      </c>
      <c r="S21" s="1">
        <f>F21*(1+(B35-25)*(-K21%))</f>
        <v>46.106284000000002</v>
      </c>
      <c r="T21" s="1">
        <f>F21*(1+(B34-25)*(-K21%))</f>
        <v>54.029289999999996</v>
      </c>
      <c r="U21" s="9">
        <f>H21*(1+(B35-25)*(-L21%))</f>
        <v>14.270850800000002</v>
      </c>
      <c r="V21" s="1">
        <f>FLOOR(B28/U21,1)</f>
        <v>3</v>
      </c>
      <c r="W21" s="1">
        <f>FLOOR(B29/T21,1)</f>
        <v>3</v>
      </c>
      <c r="X21" s="1">
        <f>CEILING(B32/S21,1)</f>
        <v>2</v>
      </c>
      <c r="Y21">
        <f>CEILING(B30/T21,1)</f>
        <v>4</v>
      </c>
      <c r="AA21" s="46">
        <f>AA2</f>
        <v>2000</v>
      </c>
      <c r="AB21" s="43">
        <f>AA3/D21</f>
        <v>3.4482758620689653</v>
      </c>
      <c r="AC21" s="43">
        <f t="shared" si="5"/>
        <v>4558</v>
      </c>
      <c r="AD21" s="42">
        <f t="shared" si="6"/>
        <v>4.5359999999999996</v>
      </c>
      <c r="AE21" s="42">
        <v>3108</v>
      </c>
      <c r="AF21" s="42">
        <f t="shared" si="7"/>
        <v>12432</v>
      </c>
    </row>
    <row r="22" spans="1:37" x14ac:dyDescent="0.3">
      <c r="A22" t="s">
        <v>121</v>
      </c>
      <c r="B22">
        <v>1134</v>
      </c>
      <c r="C22">
        <v>1762</v>
      </c>
      <c r="D22">
        <v>450</v>
      </c>
      <c r="E22">
        <v>33.21</v>
      </c>
      <c r="F22">
        <v>39.78</v>
      </c>
      <c r="G22">
        <v>13.55</v>
      </c>
      <c r="H22">
        <v>14</v>
      </c>
      <c r="I22">
        <v>22.52</v>
      </c>
      <c r="J22" s="1">
        <f t="shared" si="0"/>
        <v>225.21305154676324</v>
      </c>
      <c r="K22" s="9">
        <v>0.25</v>
      </c>
      <c r="L22" s="11">
        <v>4.4999999999999998E-2</v>
      </c>
      <c r="M22" s="9">
        <v>0.28999999999999998</v>
      </c>
      <c r="O22">
        <f t="shared" si="1"/>
        <v>5</v>
      </c>
      <c r="P22">
        <f t="shared" si="2"/>
        <v>2250</v>
      </c>
      <c r="Q22">
        <f t="shared" si="3"/>
        <v>198.9</v>
      </c>
      <c r="R22" s="1">
        <f t="shared" si="4"/>
        <v>166.05</v>
      </c>
      <c r="S22" s="1">
        <f>F22*(1+(B35-25)*(-K22%))</f>
        <v>37.989899999999999</v>
      </c>
      <c r="T22" s="1">
        <f>F22*(1+(B34-25)*(-K22%))</f>
        <v>44.255250000000004</v>
      </c>
      <c r="U22" s="9">
        <f>H22*(1+(B35-25)*(-L22%))</f>
        <v>13.8866</v>
      </c>
      <c r="V22" s="1">
        <f>FLOOR(B28/U22,1)</f>
        <v>3</v>
      </c>
      <c r="W22" s="1">
        <f>FLOOR(B29/T22,1)</f>
        <v>4</v>
      </c>
      <c r="X22" s="1">
        <f>CEILING(B32/S22,1)</f>
        <v>2</v>
      </c>
      <c r="Y22">
        <f>CEILING(B30/T22,1)</f>
        <v>5</v>
      </c>
      <c r="AA22" s="42">
        <v>2000</v>
      </c>
      <c r="AB22" s="43">
        <f>AA4/D22</f>
        <v>4.4444444444444446</v>
      </c>
      <c r="AC22" s="43">
        <f t="shared" si="5"/>
        <v>3524</v>
      </c>
      <c r="AD22" s="42">
        <f t="shared" si="6"/>
        <v>5.67</v>
      </c>
      <c r="AE22" s="42">
        <v>2158</v>
      </c>
      <c r="AF22" s="42">
        <f t="shared" si="7"/>
        <v>10790</v>
      </c>
    </row>
    <row r="23" spans="1:37" x14ac:dyDescent="0.3">
      <c r="A23" t="s">
        <v>122</v>
      </c>
      <c r="B23">
        <v>1134</v>
      </c>
      <c r="C23">
        <v>1722</v>
      </c>
      <c r="D23">
        <v>420</v>
      </c>
      <c r="E23">
        <v>31.6</v>
      </c>
      <c r="F23">
        <v>38.6</v>
      </c>
      <c r="G23">
        <v>13.3</v>
      </c>
      <c r="H23">
        <v>13.71</v>
      </c>
      <c r="I23">
        <v>21.5</v>
      </c>
      <c r="J23" s="1">
        <f t="shared" si="0"/>
        <v>215.08151589452405</v>
      </c>
      <c r="K23" s="9">
        <v>0.25</v>
      </c>
      <c r="L23" s="11">
        <v>0.05</v>
      </c>
      <c r="M23" s="9">
        <v>0.28999999999999998</v>
      </c>
      <c r="O23">
        <f t="shared" si="1"/>
        <v>5</v>
      </c>
      <c r="P23">
        <f t="shared" si="2"/>
        <v>2100</v>
      </c>
      <c r="Q23">
        <f t="shared" si="3"/>
        <v>193</v>
      </c>
      <c r="R23" s="1">
        <f t="shared" si="4"/>
        <v>158</v>
      </c>
      <c r="S23" s="1">
        <f>F23*(1+(B35-25)*(-K23%))</f>
        <v>36.863</v>
      </c>
      <c r="T23" s="1">
        <f>F23*(1+(B34-25)*(-K23%))</f>
        <v>42.942500000000003</v>
      </c>
      <c r="U23" s="9">
        <f>H23*(1+(B35-25)*(-L23%))</f>
        <v>13.58661</v>
      </c>
      <c r="V23" s="1">
        <f>FLOOR(B28/U23,1)</f>
        <v>3</v>
      </c>
      <c r="W23" s="1">
        <f>FLOOR(B29/T23,1)</f>
        <v>4</v>
      </c>
      <c r="X23" s="1">
        <f>CEILING(B32/S23,1)</f>
        <v>2</v>
      </c>
      <c r="Y23">
        <f>CEILING(B30/T23,1)</f>
        <v>5</v>
      </c>
      <c r="AA23" s="42">
        <v>2000</v>
      </c>
      <c r="AB23" s="43">
        <f>AA5/D23</f>
        <v>4.7619047619047619</v>
      </c>
      <c r="AC23" s="43">
        <f t="shared" si="5"/>
        <v>3444</v>
      </c>
      <c r="AD23" s="42">
        <f t="shared" si="6"/>
        <v>5.67</v>
      </c>
      <c r="AE23" s="42">
        <v>1730</v>
      </c>
      <c r="AF23" s="42">
        <f t="shared" si="7"/>
        <v>8650</v>
      </c>
    </row>
    <row r="24" spans="1:37" x14ac:dyDescent="0.3">
      <c r="J24" s="1"/>
      <c r="K24" s="1"/>
      <c r="L24" s="1"/>
      <c r="M24" s="1"/>
      <c r="R24" s="1"/>
      <c r="S24" s="1"/>
      <c r="T24" s="1"/>
      <c r="U24" s="9"/>
      <c r="V24" s="1"/>
      <c r="W24" s="1"/>
      <c r="X24" s="1"/>
      <c r="AB24" s="1"/>
      <c r="AC24" s="1"/>
    </row>
    <row r="25" spans="1:37" x14ac:dyDescent="0.3">
      <c r="J25" s="1"/>
      <c r="K25" s="9"/>
      <c r="L25" s="9"/>
      <c r="M25" s="1"/>
      <c r="R25" s="1"/>
      <c r="S25" s="1"/>
      <c r="T25" s="1"/>
      <c r="U25" s="9"/>
      <c r="V25" s="1"/>
      <c r="W25" s="1"/>
      <c r="X25" s="1"/>
      <c r="AB25" s="1"/>
      <c r="AC25" s="1"/>
    </row>
    <row r="26" spans="1:37" ht="15" thickBot="1" x14ac:dyDescent="0.35">
      <c r="D26" s="7" t="s">
        <v>157</v>
      </c>
      <c r="E26" s="7"/>
      <c r="F26" s="7" t="s">
        <v>160</v>
      </c>
      <c r="G26" s="7"/>
      <c r="H26" s="7" t="s">
        <v>162</v>
      </c>
      <c r="J26" s="1"/>
      <c r="K26" s="1"/>
      <c r="L26" s="1"/>
      <c r="M26" s="1"/>
      <c r="R26" s="1"/>
      <c r="S26" s="1"/>
      <c r="T26" s="1"/>
      <c r="U26" s="1"/>
      <c r="V26" s="1"/>
      <c r="W26" s="1"/>
      <c r="X26" s="1"/>
      <c r="AB26" s="1"/>
      <c r="AC26" s="1"/>
    </row>
    <row r="27" spans="1:37" ht="15" thickBot="1" x14ac:dyDescent="0.35">
      <c r="A27" s="38"/>
      <c r="B27" s="17" t="s">
        <v>132</v>
      </c>
      <c r="C27" s="13"/>
      <c r="D27" s="7" t="s">
        <v>158</v>
      </c>
      <c r="E27" s="7"/>
      <c r="F27" s="7" t="s">
        <v>161</v>
      </c>
      <c r="G27" s="7"/>
      <c r="H27" s="7" t="s">
        <v>163</v>
      </c>
      <c r="J27" s="1"/>
      <c r="K27" s="1"/>
      <c r="L27" s="1"/>
      <c r="M27" s="1"/>
      <c r="R27" s="1"/>
      <c r="S27" s="1"/>
      <c r="T27" s="1"/>
      <c r="U27" s="1"/>
      <c r="V27" s="1"/>
      <c r="W27" s="1"/>
      <c r="X27" s="1"/>
      <c r="AB27" s="1"/>
      <c r="AC27" s="1"/>
    </row>
    <row r="28" spans="1:37" x14ac:dyDescent="0.3">
      <c r="A28" s="18" t="s">
        <v>134</v>
      </c>
      <c r="B28" s="19">
        <f>VLOOKUP(A28,List2!$A$3:$I$8,List2!$J$2,FALSE)</f>
        <v>50</v>
      </c>
      <c r="C28" t="s">
        <v>135</v>
      </c>
      <c r="D28">
        <f>4*H17</f>
        <v>42.96</v>
      </c>
      <c r="E28" t="s">
        <v>135</v>
      </c>
      <c r="F28">
        <f>1*H17</f>
        <v>10.74</v>
      </c>
      <c r="G28" t="s">
        <v>135</v>
      </c>
      <c r="H28">
        <f>1*H17</f>
        <v>10.74</v>
      </c>
      <c r="I28" t="s">
        <v>135</v>
      </c>
      <c r="J28" s="1"/>
      <c r="K28" s="1"/>
      <c r="L28" s="1"/>
      <c r="M28" s="1"/>
      <c r="R28" s="1"/>
      <c r="S28" s="1"/>
      <c r="T28" s="1"/>
      <c r="U28" s="1"/>
      <c r="V28" s="1"/>
      <c r="W28" s="1"/>
      <c r="X28" s="1"/>
      <c r="AB28" s="1"/>
      <c r="AC28" s="1"/>
    </row>
    <row r="29" spans="1:37" x14ac:dyDescent="0.3">
      <c r="A29" s="20" t="s">
        <v>136</v>
      </c>
      <c r="B29" s="21">
        <f>VLOOKUP(A29,List2!$A$3:$I$8,List2!$J$2,FALSE)</f>
        <v>200</v>
      </c>
      <c r="C29" t="s">
        <v>133</v>
      </c>
      <c r="D29">
        <f>2*T17</f>
        <v>117.22640000000001</v>
      </c>
      <c r="E29" t="s">
        <v>133</v>
      </c>
      <c r="F29">
        <f>2*T17</f>
        <v>117.22640000000001</v>
      </c>
      <c r="G29" t="s">
        <v>133</v>
      </c>
      <c r="H29">
        <f>3*T17</f>
        <v>175.83960000000002</v>
      </c>
      <c r="I29" t="s">
        <v>133</v>
      </c>
      <c r="J29" s="1"/>
      <c r="K29" s="1"/>
      <c r="L29" s="1"/>
      <c r="M29" s="1"/>
      <c r="R29" s="1"/>
      <c r="S29" s="1"/>
      <c r="T29" s="1"/>
      <c r="U29" s="1"/>
      <c r="V29" s="1"/>
      <c r="W29" s="1"/>
      <c r="X29" s="1"/>
      <c r="AB29" s="1"/>
      <c r="AC29" s="1"/>
    </row>
    <row r="30" spans="1:37" x14ac:dyDescent="0.3">
      <c r="A30" s="20" t="s">
        <v>137</v>
      </c>
      <c r="B30" s="21">
        <f>VLOOKUP(A30,List2!$A$3:$I$8,List2!$J$2,FALSE)</f>
        <v>180</v>
      </c>
      <c r="C30" t="s">
        <v>133</v>
      </c>
      <c r="D30">
        <f>2*S17</f>
        <v>101.22944</v>
      </c>
      <c r="E30" t="s">
        <v>133</v>
      </c>
      <c r="F30">
        <f>2*S17</f>
        <v>101.22944</v>
      </c>
      <c r="G30" t="s">
        <v>133</v>
      </c>
      <c r="H30">
        <f>3*S17</f>
        <v>151.84415999999999</v>
      </c>
      <c r="I30" t="s">
        <v>133</v>
      </c>
      <c r="J30" s="1"/>
      <c r="K30" s="1"/>
      <c r="L30" s="1"/>
      <c r="M30" s="1"/>
      <c r="R30" s="1"/>
      <c r="S30" s="1"/>
      <c r="T30" s="1"/>
      <c r="U30" s="1"/>
      <c r="V30" s="1"/>
      <c r="W30" s="1"/>
      <c r="X30" s="1"/>
      <c r="AB30" s="1"/>
      <c r="AC30" s="1"/>
    </row>
    <row r="31" spans="1:37" x14ac:dyDescent="0.3">
      <c r="A31" s="20" t="s">
        <v>138</v>
      </c>
      <c r="B31" s="21">
        <f>VLOOKUP(A31,List2!$A$3:$I$8,List2!$J$2,FALSE)</f>
        <v>144</v>
      </c>
      <c r="C31" t="s">
        <v>133</v>
      </c>
      <c r="D31">
        <f>2*E17</f>
        <v>89.2</v>
      </c>
      <c r="E31" t="s">
        <v>133</v>
      </c>
      <c r="F31">
        <f>2*E17</f>
        <v>89.2</v>
      </c>
      <c r="G31" t="s">
        <v>133</v>
      </c>
      <c r="H31">
        <f>3*E17</f>
        <v>133.80000000000001</v>
      </c>
      <c r="I31" t="s">
        <v>133</v>
      </c>
      <c r="J31" s="1"/>
      <c r="K31" s="1"/>
      <c r="L31" s="1"/>
      <c r="M31" s="1"/>
      <c r="R31" s="1"/>
      <c r="S31" s="1"/>
      <c r="T31" s="1"/>
      <c r="U31" s="1"/>
      <c r="V31" s="1"/>
      <c r="W31" s="1"/>
      <c r="X31" s="1"/>
      <c r="AB31" s="1"/>
      <c r="AC31" s="1"/>
    </row>
    <row r="32" spans="1:37" x14ac:dyDescent="0.3">
      <c r="A32" s="20" t="s">
        <v>144</v>
      </c>
      <c r="B32" s="21">
        <f>VLOOKUP(A32,List2!$A$3:$I$8,List2!$J$2,FALSE)</f>
        <v>50</v>
      </c>
      <c r="C32" t="s">
        <v>133</v>
      </c>
      <c r="J32" s="1"/>
      <c r="K32" s="1"/>
      <c r="L32" s="1"/>
      <c r="M32" s="1"/>
      <c r="R32" s="1"/>
      <c r="S32" s="1"/>
      <c r="T32" s="1"/>
      <c r="U32" s="1"/>
      <c r="V32" s="1"/>
      <c r="W32" s="1"/>
      <c r="X32" s="1"/>
      <c r="AB32" s="1"/>
      <c r="AC32" s="1"/>
    </row>
    <row r="33" spans="1:29" ht="15" thickBot="1" x14ac:dyDescent="0.35">
      <c r="A33" s="39" t="s">
        <v>140</v>
      </c>
      <c r="B33" s="40">
        <f>VLOOKUP(A33,List2!$A$3:$I$8,List2!$J$2,FALSE)</f>
        <v>2500</v>
      </c>
      <c r="C33" t="s">
        <v>139</v>
      </c>
      <c r="D33">
        <f>4*D17</f>
        <v>1800</v>
      </c>
      <c r="E33" t="s">
        <v>139</v>
      </c>
      <c r="F33">
        <f>2*D17</f>
        <v>900</v>
      </c>
      <c r="G33" t="s">
        <v>139</v>
      </c>
      <c r="H33">
        <f>3*D17</f>
        <v>1350</v>
      </c>
      <c r="I33" t="s">
        <v>139</v>
      </c>
      <c r="J33" s="1"/>
      <c r="K33" s="1"/>
      <c r="L33" s="1"/>
      <c r="M33" s="1"/>
      <c r="R33" s="1"/>
      <c r="S33" s="1"/>
      <c r="T33" s="1"/>
      <c r="U33" s="1"/>
      <c r="V33" s="1"/>
      <c r="W33" s="1"/>
      <c r="X33" s="1"/>
      <c r="AB33" s="1"/>
      <c r="AC33" s="1"/>
    </row>
    <row r="34" spans="1:29" x14ac:dyDescent="0.3">
      <c r="A34" s="25" t="s">
        <v>155</v>
      </c>
      <c r="B34" s="27">
        <v>-20</v>
      </c>
      <c r="C34" t="s">
        <v>127</v>
      </c>
      <c r="J34" s="1"/>
      <c r="K34" s="1"/>
      <c r="L34" s="1"/>
      <c r="M34" s="1"/>
      <c r="R34" s="1"/>
      <c r="S34" s="1"/>
      <c r="T34" s="1"/>
      <c r="U34" s="1"/>
      <c r="V34" s="1"/>
      <c r="W34" s="1"/>
      <c r="X34" s="1"/>
      <c r="AB34" s="1"/>
      <c r="AC34" s="1"/>
    </row>
    <row r="35" spans="1:29" ht="15" thickBot="1" x14ac:dyDescent="0.35">
      <c r="A35" s="22" t="s">
        <v>156</v>
      </c>
      <c r="B35" s="24">
        <v>43</v>
      </c>
      <c r="C35" t="s">
        <v>127</v>
      </c>
      <c r="J35" s="1"/>
      <c r="K35" s="1"/>
      <c r="L35" s="1"/>
      <c r="M35" s="1"/>
      <c r="R35" s="1"/>
      <c r="S35" s="1"/>
      <c r="T35" s="1"/>
      <c r="U35" s="1"/>
      <c r="V35" s="1"/>
      <c r="W35" s="1"/>
      <c r="X35" s="1"/>
      <c r="AB35" s="1"/>
      <c r="AC35" s="1"/>
    </row>
    <row r="36" spans="1:29" x14ac:dyDescent="0.3">
      <c r="J36" s="1"/>
      <c r="K36" s="1"/>
      <c r="L36" s="1"/>
      <c r="M36" s="1"/>
      <c r="R36" s="1"/>
      <c r="S36" s="1"/>
      <c r="T36" s="1"/>
      <c r="U36" s="1"/>
      <c r="V36" s="1"/>
      <c r="W36" s="1"/>
      <c r="X36" s="1"/>
      <c r="AB36" s="1"/>
      <c r="AC36" s="1"/>
    </row>
    <row r="37" spans="1:29" x14ac:dyDescent="0.3">
      <c r="J37" s="1"/>
      <c r="K37" s="1"/>
      <c r="L37" s="1"/>
      <c r="M37" s="1"/>
      <c r="R37" s="1"/>
      <c r="S37" s="1"/>
      <c r="T37" s="1"/>
      <c r="U37" s="1"/>
      <c r="V37" s="1"/>
      <c r="W37" s="1"/>
      <c r="X37" s="1"/>
      <c r="AB37" s="1"/>
      <c r="AC37" s="1"/>
    </row>
    <row r="38" spans="1:29" x14ac:dyDescent="0.3">
      <c r="E38" s="1"/>
      <c r="K38" s="1"/>
      <c r="L38" s="1"/>
      <c r="M38" s="1"/>
      <c r="R38" s="1"/>
      <c r="S38" s="1"/>
      <c r="T38" s="1"/>
      <c r="U38" s="1"/>
      <c r="V38" s="1"/>
      <c r="W38" s="1"/>
      <c r="X38" s="1"/>
      <c r="AB38" s="1"/>
      <c r="AC38" s="1"/>
    </row>
    <row r="39" spans="1:29" x14ac:dyDescent="0.3">
      <c r="E39" s="1"/>
      <c r="K39" s="1"/>
      <c r="L39" s="1"/>
      <c r="M39" s="1"/>
      <c r="R39" s="1"/>
      <c r="S39" s="1"/>
      <c r="T39" s="1"/>
      <c r="U39" s="1"/>
      <c r="V39" s="1"/>
      <c r="W39" s="1"/>
      <c r="X39" s="1"/>
      <c r="AB39" s="1"/>
      <c r="AC39" s="1"/>
    </row>
    <row r="40" spans="1:29" x14ac:dyDescent="0.3">
      <c r="D40" s="9"/>
      <c r="E40" s="1"/>
      <c r="K40" s="1"/>
      <c r="L40" s="1"/>
      <c r="M40" s="1"/>
      <c r="R40" s="1"/>
      <c r="S40" s="1"/>
      <c r="T40" s="1"/>
      <c r="U40" s="1"/>
      <c r="V40" s="1"/>
      <c r="W40" s="1"/>
      <c r="X40" s="1"/>
      <c r="AB40" s="1"/>
      <c r="AC40" s="1"/>
    </row>
    <row r="41" spans="1:29" x14ac:dyDescent="0.3">
      <c r="E41" s="1"/>
      <c r="K41" s="1"/>
      <c r="L41" s="1"/>
      <c r="M41" s="1"/>
      <c r="R41" s="1"/>
      <c r="S41" s="1"/>
      <c r="T41" s="1"/>
      <c r="U41" s="1"/>
      <c r="V41" s="1"/>
      <c r="W41" s="1"/>
      <c r="X41" s="1"/>
      <c r="AB41" s="1"/>
      <c r="AC41" s="1"/>
    </row>
    <row r="42" spans="1:29" x14ac:dyDescent="0.3">
      <c r="E42" s="1"/>
      <c r="K42" s="1"/>
      <c r="L42" s="1"/>
      <c r="M42" s="1"/>
      <c r="R42" s="1"/>
      <c r="S42" s="1"/>
      <c r="T42" s="1"/>
      <c r="U42" s="1"/>
      <c r="V42" s="1"/>
      <c r="W42" s="1"/>
      <c r="X42" s="1"/>
      <c r="AB42" s="1"/>
      <c r="AC42" s="1"/>
    </row>
    <row r="43" spans="1:29" x14ac:dyDescent="0.3">
      <c r="E43" s="1"/>
      <c r="K43" s="1"/>
      <c r="L43" s="1"/>
      <c r="M43" s="1"/>
      <c r="R43" s="1"/>
      <c r="S43" s="1"/>
      <c r="T43" s="1"/>
      <c r="U43" s="1"/>
      <c r="V43" s="1"/>
      <c r="W43" s="1"/>
      <c r="X43" s="1"/>
      <c r="AB43" s="1"/>
      <c r="AC43" s="1"/>
    </row>
    <row r="44" spans="1:29" x14ac:dyDescent="0.3">
      <c r="E44" s="1"/>
      <c r="K44" s="1"/>
      <c r="L44" s="1"/>
      <c r="M44" s="1"/>
      <c r="R44" s="1"/>
      <c r="S44" s="1"/>
      <c r="T44" s="1"/>
      <c r="U44" s="1"/>
      <c r="V44" s="1"/>
      <c r="W44" s="1"/>
      <c r="X44" s="1"/>
      <c r="AB44" s="1"/>
      <c r="AC44" s="1"/>
    </row>
    <row r="45" spans="1:29" x14ac:dyDescent="0.3">
      <c r="E45" s="1"/>
      <c r="K45" s="1"/>
      <c r="L45" s="1"/>
      <c r="M45" s="1"/>
      <c r="R45" s="1"/>
      <c r="S45" s="1"/>
      <c r="T45" s="1"/>
      <c r="U45" s="1"/>
      <c r="V45" s="1"/>
      <c r="W45" s="1"/>
      <c r="X45" s="1"/>
      <c r="AB45" s="1"/>
      <c r="AC45" s="1"/>
    </row>
    <row r="46" spans="1:29" x14ac:dyDescent="0.3">
      <c r="E46" s="1"/>
      <c r="K46" s="1"/>
      <c r="L46" s="1"/>
      <c r="M46" s="1"/>
      <c r="R46" s="1"/>
      <c r="S46" s="1"/>
      <c r="T46" s="1"/>
      <c r="U46" s="1"/>
      <c r="V46" s="1"/>
      <c r="W46" s="1"/>
      <c r="X46" s="1"/>
      <c r="AB46" s="1"/>
      <c r="AC46" s="1"/>
    </row>
    <row r="47" spans="1:29" x14ac:dyDescent="0.3">
      <c r="E47" s="1"/>
      <c r="K47" s="1"/>
      <c r="L47" s="1"/>
      <c r="M47" s="1"/>
      <c r="R47" s="1"/>
      <c r="S47" s="1"/>
      <c r="T47" s="1"/>
      <c r="U47" s="1"/>
      <c r="V47" s="1"/>
      <c r="W47" s="1"/>
      <c r="X47" s="1"/>
      <c r="AB47" s="1"/>
      <c r="AC47" s="1"/>
    </row>
    <row r="48" spans="1:29" x14ac:dyDescent="0.3">
      <c r="E48" s="1"/>
      <c r="K48" s="1"/>
      <c r="L48" s="1"/>
      <c r="M48" s="1"/>
      <c r="R48" s="1"/>
      <c r="S48" s="1"/>
      <c r="T48" s="1"/>
      <c r="U48" s="1"/>
      <c r="V48" s="1"/>
      <c r="W48" s="1"/>
      <c r="X48" s="1"/>
      <c r="AB48" s="1"/>
      <c r="AC48" s="1"/>
    </row>
  </sheetData>
  <mergeCells count="1">
    <mergeCell ref="B1:C1"/>
  </mergeCells>
  <pageMargins left="0.7" right="0.7" top="0.78740157499999996" bottom="0.78740157499999996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597598-42E6-45B3-8FC1-B64BEC016209}">
          <x14:formula1>
            <xm:f>List2!$B$1:$I$1</xm:f>
          </x14:formula1>
          <xm:sqref>B27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8ABD7-4528-40DA-ADAA-B1A4D1DC60E5}">
  <dimension ref="A1:J8"/>
  <sheetViews>
    <sheetView workbookViewId="0">
      <selection activeCell="J3" sqref="J3:J8"/>
    </sheetView>
  </sheetViews>
  <sheetFormatPr defaultRowHeight="14.4" x14ac:dyDescent="0.3"/>
  <cols>
    <col min="1" max="1" width="15.5546875" bestFit="1" customWidth="1"/>
    <col min="2" max="2" width="13.5546875" bestFit="1" customWidth="1"/>
    <col min="3" max="4" width="12.6640625" bestFit="1" customWidth="1"/>
    <col min="5" max="5" width="13.77734375" bestFit="1" customWidth="1"/>
    <col min="6" max="8" width="12.6640625" bestFit="1" customWidth="1"/>
    <col min="9" max="9" width="13.77734375" bestFit="1" customWidth="1"/>
    <col min="10" max="11" width="16.88671875" bestFit="1" customWidth="1"/>
  </cols>
  <sheetData>
    <row r="1" spans="1:10" s="13" customFormat="1" ht="15" thickBot="1" x14ac:dyDescent="0.35">
      <c r="A1" s="15"/>
      <c r="B1" s="16" t="s">
        <v>132</v>
      </c>
      <c r="C1" s="16" t="s">
        <v>153</v>
      </c>
      <c r="D1" s="16" t="s">
        <v>153</v>
      </c>
      <c r="E1" s="17" t="s">
        <v>152</v>
      </c>
      <c r="F1" s="16" t="s">
        <v>148</v>
      </c>
      <c r="G1" s="16" t="s">
        <v>149</v>
      </c>
      <c r="H1" s="16" t="s">
        <v>150</v>
      </c>
      <c r="I1" s="17" t="s">
        <v>151</v>
      </c>
      <c r="J1" t="s">
        <v>154</v>
      </c>
    </row>
    <row r="2" spans="1:10" s="13" customFormat="1" ht="15" thickBot="1" x14ac:dyDescent="0.35">
      <c r="A2" s="34"/>
      <c r="B2" s="35">
        <v>2</v>
      </c>
      <c r="C2" s="36">
        <v>3</v>
      </c>
      <c r="D2" s="36">
        <v>4</v>
      </c>
      <c r="E2" s="37">
        <v>5</v>
      </c>
      <c r="F2" s="35">
        <v>6</v>
      </c>
      <c r="G2" s="36">
        <v>7</v>
      </c>
      <c r="H2" s="36">
        <v>8</v>
      </c>
      <c r="I2" s="37">
        <v>9</v>
      </c>
      <c r="J2">
        <f>HLOOKUP(List1!B27,List2!B1:I2,2,FALSE)</f>
        <v>2</v>
      </c>
    </row>
    <row r="3" spans="1:10" x14ac:dyDescent="0.3">
      <c r="A3" s="31" t="s">
        <v>134</v>
      </c>
      <c r="B3" s="25">
        <v>50</v>
      </c>
      <c r="C3" s="26">
        <v>60</v>
      </c>
      <c r="D3" s="26">
        <v>80</v>
      </c>
      <c r="E3" s="27">
        <v>100</v>
      </c>
      <c r="F3" s="28">
        <v>50</v>
      </c>
      <c r="G3" s="26">
        <v>60</v>
      </c>
      <c r="H3" s="26">
        <v>80</v>
      </c>
      <c r="I3" s="27">
        <v>100</v>
      </c>
      <c r="J3" t="s">
        <v>135</v>
      </c>
    </row>
    <row r="4" spans="1:10" x14ac:dyDescent="0.3">
      <c r="A4" s="32" t="s">
        <v>136</v>
      </c>
      <c r="B4" s="20">
        <v>200</v>
      </c>
      <c r="C4" s="14">
        <v>200</v>
      </c>
      <c r="D4" s="14">
        <v>200</v>
      </c>
      <c r="E4" s="21">
        <v>200</v>
      </c>
      <c r="F4" s="29">
        <v>150</v>
      </c>
      <c r="G4" s="14">
        <v>150</v>
      </c>
      <c r="H4" s="14">
        <v>150</v>
      </c>
      <c r="I4" s="21">
        <v>150</v>
      </c>
      <c r="J4" t="s">
        <v>133</v>
      </c>
    </row>
    <row r="5" spans="1:10" x14ac:dyDescent="0.3">
      <c r="A5" s="32" t="s">
        <v>137</v>
      </c>
      <c r="B5" s="20">
        <v>180</v>
      </c>
      <c r="C5" s="14">
        <v>180</v>
      </c>
      <c r="D5" s="14">
        <v>180</v>
      </c>
      <c r="E5" s="21">
        <v>180</v>
      </c>
      <c r="F5" s="29">
        <v>138</v>
      </c>
      <c r="G5" s="14">
        <v>138</v>
      </c>
      <c r="H5" s="14">
        <v>138</v>
      </c>
      <c r="I5" s="21">
        <v>138</v>
      </c>
      <c r="J5" t="s">
        <v>133</v>
      </c>
    </row>
    <row r="6" spans="1:10" x14ac:dyDescent="0.3">
      <c r="A6" s="32" t="s">
        <v>138</v>
      </c>
      <c r="B6" s="20">
        <v>144</v>
      </c>
      <c r="C6" s="14">
        <v>144</v>
      </c>
      <c r="D6" s="14">
        <v>144</v>
      </c>
      <c r="E6" s="21">
        <v>144</v>
      </c>
      <c r="F6" s="29">
        <v>108</v>
      </c>
      <c r="G6" s="14">
        <v>108</v>
      </c>
      <c r="H6" s="14">
        <v>108</v>
      </c>
      <c r="I6" s="21">
        <v>108</v>
      </c>
      <c r="J6" t="s">
        <v>133</v>
      </c>
    </row>
    <row r="7" spans="1:10" x14ac:dyDescent="0.3">
      <c r="A7" s="32" t="s">
        <v>144</v>
      </c>
      <c r="B7" s="20">
        <v>50</v>
      </c>
      <c r="C7" s="14">
        <v>50</v>
      </c>
      <c r="D7" s="14">
        <v>50</v>
      </c>
      <c r="E7" s="21">
        <v>50</v>
      </c>
      <c r="F7" s="29">
        <v>50</v>
      </c>
      <c r="G7" s="14">
        <v>50</v>
      </c>
      <c r="H7" s="14">
        <v>50</v>
      </c>
      <c r="I7" s="21">
        <v>50</v>
      </c>
      <c r="J7" t="s">
        <v>133</v>
      </c>
    </row>
    <row r="8" spans="1:10" ht="15" thickBot="1" x14ac:dyDescent="0.35">
      <c r="A8" s="33" t="s">
        <v>140</v>
      </c>
      <c r="B8" s="22">
        <v>2500</v>
      </c>
      <c r="C8" s="23">
        <v>3000</v>
      </c>
      <c r="D8" s="23">
        <v>4000</v>
      </c>
      <c r="E8" s="24">
        <v>5000</v>
      </c>
      <c r="F8" s="30">
        <v>2500</v>
      </c>
      <c r="G8" s="23">
        <v>3000</v>
      </c>
      <c r="H8" s="23">
        <v>4000</v>
      </c>
      <c r="I8" s="24">
        <v>5000</v>
      </c>
      <c r="J8" t="s">
        <v>139</v>
      </c>
    </row>
  </sheetData>
  <dataValidations disablePrompts="1" count="1">
    <dataValidation type="list" allowBlank="1" showInputMessage="1" showErrorMessage="1" sqref="E14" xr:uid="{8B0AE307-AE35-4758-906B-ABD4B662DF12}">
      <formula1>$B$12:$B$14</formula1>
    </dataValidation>
  </dataValidation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11A46-46DA-4650-8663-620395CBDB23}">
  <dimension ref="A1:AF92"/>
  <sheetViews>
    <sheetView workbookViewId="0">
      <selection activeCell="J86" sqref="J86"/>
    </sheetView>
  </sheetViews>
  <sheetFormatPr defaultRowHeight="14.4" x14ac:dyDescent="0.3"/>
  <sheetData>
    <row r="1" spans="1:29" x14ac:dyDescent="0.3">
      <c r="J1" s="1"/>
      <c r="K1" s="1"/>
      <c r="L1" s="1"/>
      <c r="M1" s="1"/>
      <c r="R1" s="1"/>
      <c r="S1" s="1"/>
      <c r="T1" s="1"/>
      <c r="U1" s="1"/>
      <c r="V1" s="1"/>
      <c r="W1" s="1"/>
      <c r="X1" s="1"/>
      <c r="AB1" s="1"/>
      <c r="AC1" s="1"/>
    </row>
    <row r="2" spans="1:29" x14ac:dyDescent="0.3">
      <c r="J2" s="1"/>
      <c r="K2" s="1"/>
      <c r="L2" s="1"/>
      <c r="M2" s="1"/>
      <c r="R2" s="1"/>
      <c r="S2" s="1"/>
      <c r="T2" s="1"/>
      <c r="U2" s="1"/>
      <c r="V2" s="1"/>
      <c r="W2" s="1"/>
      <c r="X2" s="1"/>
      <c r="AB2" s="1"/>
      <c r="AC2" s="1"/>
    </row>
    <row r="3" spans="1:29" x14ac:dyDescent="0.3">
      <c r="J3" s="1"/>
      <c r="K3" s="1"/>
      <c r="L3" s="1"/>
      <c r="M3" s="1"/>
      <c r="R3" s="1"/>
      <c r="S3" s="1"/>
      <c r="T3" s="1"/>
      <c r="U3" s="1"/>
      <c r="V3" s="1"/>
      <c r="W3" s="1"/>
      <c r="X3" s="1"/>
      <c r="AB3" s="1"/>
      <c r="AC3" s="1"/>
    </row>
    <row r="4" spans="1:29" s="2" customFormat="1" ht="90" customHeight="1" x14ac:dyDescent="0.3">
      <c r="B4" s="2" t="s">
        <v>24</v>
      </c>
      <c r="D4" s="2" t="s">
        <v>25</v>
      </c>
      <c r="F4" s="2" t="s">
        <v>27</v>
      </c>
      <c r="G4" s="2" t="s">
        <v>68</v>
      </c>
      <c r="H4" s="2" t="s">
        <v>28</v>
      </c>
      <c r="I4" s="2" t="s">
        <v>29</v>
      </c>
      <c r="J4" s="2" t="s">
        <v>57</v>
      </c>
      <c r="N4" s="2" t="s">
        <v>58</v>
      </c>
      <c r="P4" s="2" t="s">
        <v>59</v>
      </c>
      <c r="Q4" s="2" t="s">
        <v>115</v>
      </c>
    </row>
    <row r="5" spans="1:29" x14ac:dyDescent="0.3">
      <c r="A5" t="s">
        <v>23</v>
      </c>
      <c r="B5">
        <v>5000</v>
      </c>
      <c r="D5">
        <v>450</v>
      </c>
      <c r="F5" t="s">
        <v>56</v>
      </c>
      <c r="H5">
        <v>100</v>
      </c>
      <c r="I5">
        <v>22</v>
      </c>
      <c r="N5">
        <v>93</v>
      </c>
      <c r="P5">
        <v>60</v>
      </c>
      <c r="Q5">
        <v>18000</v>
      </c>
    </row>
    <row r="6" spans="1:29" x14ac:dyDescent="0.3">
      <c r="A6" t="s">
        <v>60</v>
      </c>
      <c r="B6">
        <v>5200</v>
      </c>
      <c r="D6">
        <v>450</v>
      </c>
      <c r="F6" t="s">
        <v>56</v>
      </c>
      <c r="H6">
        <v>100</v>
      </c>
      <c r="I6">
        <v>18</v>
      </c>
      <c r="J6">
        <v>2</v>
      </c>
      <c r="N6">
        <v>93</v>
      </c>
      <c r="Q6">
        <v>18999</v>
      </c>
    </row>
    <row r="7" spans="1:29" x14ac:dyDescent="0.3">
      <c r="A7" t="s">
        <v>61</v>
      </c>
      <c r="B7">
        <v>5000</v>
      </c>
      <c r="D7">
        <v>145</v>
      </c>
      <c r="F7" t="s">
        <v>62</v>
      </c>
      <c r="H7">
        <v>80</v>
      </c>
      <c r="J7">
        <v>2</v>
      </c>
      <c r="N7">
        <v>98</v>
      </c>
      <c r="Q7">
        <v>17000</v>
      </c>
    </row>
    <row r="8" spans="1:29" x14ac:dyDescent="0.3">
      <c r="A8" t="s">
        <v>63</v>
      </c>
      <c r="B8">
        <v>6000</v>
      </c>
      <c r="D8">
        <v>500</v>
      </c>
      <c r="F8" t="s">
        <v>26</v>
      </c>
      <c r="H8">
        <v>100</v>
      </c>
      <c r="J8">
        <v>2</v>
      </c>
      <c r="N8">
        <v>94</v>
      </c>
      <c r="Q8">
        <v>17000</v>
      </c>
      <c r="AA8" s="8" t="s">
        <v>64</v>
      </c>
    </row>
    <row r="9" spans="1:29" x14ac:dyDescent="0.3">
      <c r="A9" t="s">
        <v>65</v>
      </c>
      <c r="B9">
        <v>6000</v>
      </c>
      <c r="D9">
        <v>500</v>
      </c>
      <c r="F9" t="s">
        <v>66</v>
      </c>
      <c r="H9">
        <v>120</v>
      </c>
      <c r="I9">
        <v>18</v>
      </c>
      <c r="J9">
        <v>2</v>
      </c>
      <c r="N9">
        <v>93</v>
      </c>
      <c r="Q9">
        <v>18500</v>
      </c>
    </row>
    <row r="10" spans="1:29" x14ac:dyDescent="0.3">
      <c r="A10" t="s">
        <v>67</v>
      </c>
      <c r="B10">
        <v>5000</v>
      </c>
      <c r="D10">
        <v>500</v>
      </c>
      <c r="F10" t="s">
        <v>66</v>
      </c>
      <c r="G10">
        <v>160</v>
      </c>
      <c r="H10">
        <v>100</v>
      </c>
      <c r="J10">
        <v>10</v>
      </c>
      <c r="N10">
        <v>93</v>
      </c>
      <c r="P10">
        <v>55</v>
      </c>
      <c r="Q10">
        <v>12000</v>
      </c>
      <c r="AA10" s="8" t="s">
        <v>69</v>
      </c>
    </row>
    <row r="11" spans="1:29" x14ac:dyDescent="0.3">
      <c r="A11" t="s">
        <v>70</v>
      </c>
      <c r="B11">
        <v>5000</v>
      </c>
      <c r="F11" t="s">
        <v>26</v>
      </c>
      <c r="N11">
        <v>93</v>
      </c>
      <c r="Q11">
        <v>16000</v>
      </c>
      <c r="AA11" s="8" t="s">
        <v>71</v>
      </c>
    </row>
    <row r="12" spans="1:29" x14ac:dyDescent="0.3">
      <c r="A12" t="s">
        <v>72</v>
      </c>
      <c r="B12">
        <v>6000</v>
      </c>
      <c r="D12">
        <v>500</v>
      </c>
      <c r="F12" t="s">
        <v>26</v>
      </c>
      <c r="H12">
        <v>120</v>
      </c>
      <c r="I12">
        <v>27</v>
      </c>
      <c r="N12">
        <v>95</v>
      </c>
      <c r="Q12">
        <v>17000</v>
      </c>
      <c r="AA12" s="8" t="s">
        <v>73</v>
      </c>
    </row>
    <row r="13" spans="1:29" x14ac:dyDescent="0.3">
      <c r="A13" t="s">
        <v>76</v>
      </c>
      <c r="B13">
        <v>8000</v>
      </c>
      <c r="D13">
        <v>500</v>
      </c>
      <c r="F13" t="s">
        <v>77</v>
      </c>
      <c r="H13">
        <v>120</v>
      </c>
      <c r="N13">
        <v>93</v>
      </c>
      <c r="P13">
        <v>70</v>
      </c>
      <c r="Q13">
        <v>18000</v>
      </c>
      <c r="AA13" t="s">
        <v>78</v>
      </c>
    </row>
    <row r="16" spans="1:29" x14ac:dyDescent="0.3">
      <c r="E16" t="s">
        <v>115</v>
      </c>
    </row>
    <row r="17" spans="1:6" x14ac:dyDescent="0.3">
      <c r="A17" t="s">
        <v>83</v>
      </c>
      <c r="E17">
        <v>4000</v>
      </c>
    </row>
    <row r="18" spans="1:6" x14ac:dyDescent="0.3">
      <c r="A18" t="s">
        <v>96</v>
      </c>
      <c r="E18">
        <v>2513</v>
      </c>
    </row>
    <row r="19" spans="1:6" x14ac:dyDescent="0.3">
      <c r="A19" t="s">
        <v>45</v>
      </c>
      <c r="E19">
        <v>3854</v>
      </c>
    </row>
    <row r="20" spans="1:6" x14ac:dyDescent="0.3">
      <c r="A20" t="s">
        <v>97</v>
      </c>
      <c r="E20">
        <v>980</v>
      </c>
    </row>
    <row r="21" spans="1:6" x14ac:dyDescent="0.3">
      <c r="A21" t="s">
        <v>36</v>
      </c>
      <c r="E21">
        <v>4366</v>
      </c>
    </row>
    <row r="22" spans="1:6" x14ac:dyDescent="0.3">
      <c r="A22" t="s">
        <v>37</v>
      </c>
      <c r="E22">
        <v>3741</v>
      </c>
    </row>
    <row r="23" spans="1:6" x14ac:dyDescent="0.3">
      <c r="A23" t="s">
        <v>108</v>
      </c>
      <c r="E23">
        <v>4500</v>
      </c>
    </row>
    <row r="24" spans="1:6" x14ac:dyDescent="0.3">
      <c r="A24" t="s">
        <v>81</v>
      </c>
      <c r="E24">
        <v>1537</v>
      </c>
      <c r="F24" s="8" t="s">
        <v>79</v>
      </c>
    </row>
    <row r="25" spans="1:6" x14ac:dyDescent="0.3">
      <c r="A25" t="s">
        <v>75</v>
      </c>
      <c r="E25">
        <v>800</v>
      </c>
    </row>
    <row r="26" spans="1:6" x14ac:dyDescent="0.3">
      <c r="A26" t="s">
        <v>110</v>
      </c>
      <c r="E26">
        <v>420</v>
      </c>
    </row>
    <row r="27" spans="1:6" x14ac:dyDescent="0.3">
      <c r="A27" t="s">
        <v>95</v>
      </c>
      <c r="E27">
        <v>65</v>
      </c>
    </row>
    <row r="28" spans="1:6" x14ac:dyDescent="0.3">
      <c r="A28" t="s">
        <v>82</v>
      </c>
      <c r="E28">
        <v>208</v>
      </c>
      <c r="F28" t="s">
        <v>80</v>
      </c>
    </row>
    <row r="29" spans="1:6" x14ac:dyDescent="0.3">
      <c r="A29" t="s">
        <v>109</v>
      </c>
      <c r="E29">
        <v>95</v>
      </c>
    </row>
    <row r="30" spans="1:6" x14ac:dyDescent="0.3">
      <c r="A30" t="s">
        <v>74</v>
      </c>
      <c r="E30">
        <v>718</v>
      </c>
    </row>
    <row r="31" spans="1:6" x14ac:dyDescent="0.3">
      <c r="A31" t="s">
        <v>38</v>
      </c>
      <c r="E31">
        <v>1500</v>
      </c>
    </row>
    <row r="32" spans="1:6" x14ac:dyDescent="0.3">
      <c r="A32" t="s">
        <v>40</v>
      </c>
      <c r="E32">
        <v>1600</v>
      </c>
    </row>
    <row r="33" spans="1:9" x14ac:dyDescent="0.3">
      <c r="A33" t="s">
        <v>85</v>
      </c>
      <c r="E33">
        <v>768</v>
      </c>
    </row>
    <row r="34" spans="1:9" x14ac:dyDescent="0.3">
      <c r="A34" t="s">
        <v>39</v>
      </c>
      <c r="E34">
        <v>800</v>
      </c>
    </row>
    <row r="35" spans="1:9" x14ac:dyDescent="0.3">
      <c r="A35" t="s">
        <v>41</v>
      </c>
    </row>
    <row r="36" spans="1:9" x14ac:dyDescent="0.3">
      <c r="A36" t="s">
        <v>42</v>
      </c>
      <c r="E36">
        <v>530</v>
      </c>
    </row>
    <row r="38" spans="1:9" x14ac:dyDescent="0.3">
      <c r="A38" t="s">
        <v>43</v>
      </c>
    </row>
    <row r="39" spans="1:9" x14ac:dyDescent="0.3">
      <c r="A39" t="s">
        <v>44</v>
      </c>
      <c r="E39">
        <v>550</v>
      </c>
    </row>
    <row r="40" spans="1:9" x14ac:dyDescent="0.3">
      <c r="A40" t="s">
        <v>41</v>
      </c>
    </row>
    <row r="41" spans="1:9" x14ac:dyDescent="0.3">
      <c r="A41" t="s">
        <v>42</v>
      </c>
      <c r="E41">
        <v>530</v>
      </c>
    </row>
    <row r="43" spans="1:9" x14ac:dyDescent="0.3">
      <c r="A43" t="s">
        <v>84</v>
      </c>
      <c r="E43">
        <v>877</v>
      </c>
    </row>
    <row r="44" spans="1:9" x14ac:dyDescent="0.3">
      <c r="A44" t="s">
        <v>86</v>
      </c>
      <c r="E44">
        <v>756</v>
      </c>
      <c r="F44" s="8" t="s">
        <v>87</v>
      </c>
    </row>
    <row r="46" spans="1:9" x14ac:dyDescent="0.3">
      <c r="E46" s="7"/>
    </row>
    <row r="47" spans="1:9" x14ac:dyDescent="0.3">
      <c r="C47" t="s">
        <v>94</v>
      </c>
      <c r="D47" t="s">
        <v>113</v>
      </c>
      <c r="E47" t="s">
        <v>115</v>
      </c>
      <c r="F47" t="s">
        <v>114</v>
      </c>
      <c r="G47" t="s">
        <v>93</v>
      </c>
      <c r="H47" t="s">
        <v>112</v>
      </c>
    </row>
    <row r="48" spans="1:9" x14ac:dyDescent="0.3">
      <c r="A48" t="s">
        <v>46</v>
      </c>
      <c r="C48">
        <v>16</v>
      </c>
      <c r="D48">
        <v>63</v>
      </c>
      <c r="E48">
        <v>1584</v>
      </c>
      <c r="F48">
        <f>E48*C48</f>
        <v>25344</v>
      </c>
      <c r="G48">
        <v>314</v>
      </c>
      <c r="H48" s="1">
        <f>3.2*G48*C48/1000</f>
        <v>16.076800000000002</v>
      </c>
      <c r="I48" s="8" t="s">
        <v>47</v>
      </c>
    </row>
    <row r="49" spans="1:9" x14ac:dyDescent="0.3">
      <c r="A49" t="s">
        <v>101</v>
      </c>
      <c r="C49">
        <v>16</v>
      </c>
      <c r="D49">
        <v>58</v>
      </c>
      <c r="E49">
        <v>1458</v>
      </c>
      <c r="F49">
        <f>E49*C49</f>
        <v>23328</v>
      </c>
      <c r="G49">
        <v>280</v>
      </c>
      <c r="H49" s="1">
        <f>3.2*G49*C49/1000</f>
        <v>14.336</v>
      </c>
      <c r="I49" s="8" t="s">
        <v>98</v>
      </c>
    </row>
    <row r="50" spans="1:9" x14ac:dyDescent="0.3">
      <c r="A50" t="s">
        <v>89</v>
      </c>
      <c r="E50">
        <v>4599</v>
      </c>
      <c r="I50" s="8" t="s">
        <v>48</v>
      </c>
    </row>
    <row r="51" spans="1:9" x14ac:dyDescent="0.3">
      <c r="A51" t="s">
        <v>100</v>
      </c>
      <c r="E51">
        <v>2499</v>
      </c>
      <c r="I51" s="8" t="s">
        <v>55</v>
      </c>
    </row>
    <row r="52" spans="1:9" x14ac:dyDescent="0.3">
      <c r="A52" t="s">
        <v>99</v>
      </c>
      <c r="E52">
        <v>120</v>
      </c>
    </row>
    <row r="53" spans="1:9" x14ac:dyDescent="0.3">
      <c r="A53" t="s">
        <v>92</v>
      </c>
      <c r="E53">
        <v>30</v>
      </c>
    </row>
    <row r="55" spans="1:9" x14ac:dyDescent="0.3">
      <c r="A55" t="s">
        <v>49</v>
      </c>
    </row>
    <row r="56" spans="1:9" x14ac:dyDescent="0.3">
      <c r="A56" t="s">
        <v>50</v>
      </c>
    </row>
    <row r="57" spans="1:9" x14ac:dyDescent="0.3">
      <c r="A57" t="s">
        <v>51</v>
      </c>
    </row>
    <row r="58" spans="1:9" x14ac:dyDescent="0.3">
      <c r="A58" t="s">
        <v>52</v>
      </c>
      <c r="C58">
        <v>20</v>
      </c>
      <c r="D58">
        <v>30</v>
      </c>
      <c r="E58">
        <f>D58*C58</f>
        <v>600</v>
      </c>
      <c r="G58" t="s">
        <v>54</v>
      </c>
    </row>
    <row r="59" spans="1:9" x14ac:dyDescent="0.3">
      <c r="A59" t="s">
        <v>53</v>
      </c>
      <c r="C59">
        <v>20</v>
      </c>
      <c r="D59">
        <v>30</v>
      </c>
      <c r="E59">
        <f>D59*C59</f>
        <v>600</v>
      </c>
      <c r="G59" t="s">
        <v>111</v>
      </c>
    </row>
    <row r="67" spans="4:20" x14ac:dyDescent="0.3">
      <c r="D67" t="s">
        <v>103</v>
      </c>
      <c r="H67" t="s">
        <v>107</v>
      </c>
      <c r="O67" t="s">
        <v>106</v>
      </c>
    </row>
    <row r="76" spans="4:20" x14ac:dyDescent="0.3">
      <c r="H76" t="s">
        <v>102</v>
      </c>
      <c r="O76" t="s">
        <v>105</v>
      </c>
      <c r="T76" t="s">
        <v>104</v>
      </c>
    </row>
    <row r="77" spans="4:20" x14ac:dyDescent="0.3">
      <c r="D77" t="s">
        <v>104</v>
      </c>
    </row>
    <row r="89" spans="1:32" s="2" customFormat="1" ht="86.4" x14ac:dyDescent="0.3">
      <c r="A89" s="2" t="s">
        <v>6</v>
      </c>
      <c r="B89" s="41" t="s">
        <v>1</v>
      </c>
      <c r="C89" s="41"/>
      <c r="D89" s="2" t="s">
        <v>11</v>
      </c>
      <c r="E89" s="2" t="s">
        <v>14</v>
      </c>
      <c r="F89" s="2" t="s">
        <v>13</v>
      </c>
      <c r="G89" s="2" t="s">
        <v>4</v>
      </c>
      <c r="H89" s="2" t="s">
        <v>5</v>
      </c>
      <c r="I89" s="2" t="s">
        <v>2</v>
      </c>
      <c r="J89" s="2" t="s">
        <v>9</v>
      </c>
      <c r="O89" s="2" t="s">
        <v>3</v>
      </c>
      <c r="P89" s="2" t="s">
        <v>18</v>
      </c>
      <c r="Q89" s="2" t="s">
        <v>90</v>
      </c>
      <c r="R89" s="2" t="s">
        <v>118</v>
      </c>
      <c r="T89" s="2" t="s">
        <v>91</v>
      </c>
      <c r="AA89" s="2" t="s">
        <v>88</v>
      </c>
      <c r="AB89" s="2" t="s">
        <v>10</v>
      </c>
      <c r="AD89" s="2" t="s">
        <v>116</v>
      </c>
      <c r="AE89" s="2" t="s">
        <v>15</v>
      </c>
      <c r="AF89" s="2" t="s">
        <v>16</v>
      </c>
    </row>
    <row r="90" spans="1:32" s="3" customFormat="1" ht="57.6" x14ac:dyDescent="0.3">
      <c r="A90" s="6" t="s">
        <v>34</v>
      </c>
      <c r="B90" s="3">
        <v>1134</v>
      </c>
      <c r="C90" s="3">
        <v>1762</v>
      </c>
      <c r="D90" s="3">
        <v>450</v>
      </c>
      <c r="E90" s="3">
        <v>44.6</v>
      </c>
      <c r="F90" s="3">
        <v>52.9</v>
      </c>
      <c r="G90" s="3">
        <v>10.09</v>
      </c>
      <c r="H90" s="3">
        <v>10.74</v>
      </c>
      <c r="I90" s="3">
        <v>22.5</v>
      </c>
      <c r="J90" s="4">
        <f>D90/((B90*C90)/1000000)</f>
        <v>225.21305154676324</v>
      </c>
      <c r="K90" s="4"/>
      <c r="L90" s="4"/>
      <c r="M90" s="4"/>
      <c r="O90" s="3">
        <v>2</v>
      </c>
      <c r="P90" s="3">
        <f>O90*D90</f>
        <v>900</v>
      </c>
      <c r="Q90" s="3">
        <f>O90*F90</f>
        <v>105.8</v>
      </c>
      <c r="R90" s="1">
        <f>O90*E90</f>
        <v>89.2</v>
      </c>
      <c r="T90" s="4">
        <f>(Q90*14%)+Q90</f>
        <v>120.61199999999999</v>
      </c>
      <c r="U90" s="4"/>
      <c r="V90" s="4"/>
      <c r="W90" s="4"/>
      <c r="X90" s="4"/>
      <c r="AA90" s="5">
        <v>2000</v>
      </c>
      <c r="AB90" s="4">
        <f>AA90/D90</f>
        <v>4.4444444444444446</v>
      </c>
      <c r="AC90" s="4"/>
      <c r="AD90" s="3">
        <f>O90*B90/1000</f>
        <v>2.2679999999999998</v>
      </c>
      <c r="AE90" s="3">
        <v>2458</v>
      </c>
      <c r="AF90" s="3">
        <f>O90*AE90</f>
        <v>4916</v>
      </c>
    </row>
    <row r="91" spans="1:32" x14ac:dyDescent="0.3">
      <c r="A91" t="s">
        <v>12</v>
      </c>
      <c r="B91">
        <v>1134</v>
      </c>
      <c r="C91">
        <v>1954</v>
      </c>
      <c r="D91">
        <v>500</v>
      </c>
      <c r="E91">
        <v>37.9</v>
      </c>
      <c r="F91">
        <v>45.02</v>
      </c>
      <c r="G91">
        <v>13.02</v>
      </c>
      <c r="H91">
        <v>14.05</v>
      </c>
      <c r="I91">
        <v>22.6</v>
      </c>
      <c r="J91" s="1">
        <f>D91/((B91*C91)/1000000)</f>
        <v>225.64846856897353</v>
      </c>
      <c r="K91" s="1"/>
      <c r="L91" s="1"/>
      <c r="M91" s="1"/>
      <c r="O91">
        <v>1</v>
      </c>
      <c r="P91">
        <f>O91*D91</f>
        <v>500</v>
      </c>
      <c r="Q91">
        <f>O91*F91</f>
        <v>45.02</v>
      </c>
      <c r="R91" s="1">
        <f>O91*E91</f>
        <v>37.9</v>
      </c>
      <c r="T91" s="1">
        <f>(Q91*14%)+Q91</f>
        <v>51.322800000000001</v>
      </c>
      <c r="U91" s="1"/>
      <c r="V91" s="1"/>
      <c r="W91" s="1"/>
      <c r="X91" s="1"/>
      <c r="AA91" s="5">
        <v>2000</v>
      </c>
      <c r="AB91" s="1">
        <f>AA91/D91</f>
        <v>4</v>
      </c>
      <c r="AC91" s="1"/>
      <c r="AD91">
        <f>O91*B91/1000</f>
        <v>1.1339999999999999</v>
      </c>
      <c r="AE91" s="3">
        <v>3318</v>
      </c>
      <c r="AF91">
        <f>O91*AE91</f>
        <v>3318</v>
      </c>
    </row>
    <row r="92" spans="1:32" x14ac:dyDescent="0.3">
      <c r="P92">
        <f>SUM(P90:P91)</f>
        <v>1400</v>
      </c>
      <c r="Q92">
        <f>SUM(Q90:Q91)</f>
        <v>150.82</v>
      </c>
      <c r="R92" s="1">
        <f>SUM(R90:R91)</f>
        <v>127.1</v>
      </c>
      <c r="T92" s="1">
        <f>SUM(T90:T91)</f>
        <v>171.9348</v>
      </c>
      <c r="U92" s="1"/>
      <c r="V92" s="1"/>
      <c r="W92" s="1"/>
      <c r="X92" s="1"/>
      <c r="AF92">
        <f>SUM(AF90:AF91)</f>
        <v>8234</v>
      </c>
    </row>
  </sheetData>
  <mergeCells count="1">
    <mergeCell ref="B89:C89"/>
  </mergeCells>
  <hyperlinks>
    <hyperlink ref="I48" r:id="rId1" xr:uid="{1AA4D2A6-212D-48A8-800C-9B3A3229A27C}"/>
    <hyperlink ref="I50" r:id="rId2" xr:uid="{32353033-DA27-4738-87C3-63298FE94EE5}"/>
    <hyperlink ref="I51" r:id="rId3" xr:uid="{6626922D-C027-4361-9F15-1A275C7DE7EE}"/>
    <hyperlink ref="AA8" r:id="rId4" xr:uid="{C8E48C0F-000C-4FB6-B5A3-51D0B5099F7A}"/>
    <hyperlink ref="AA10" r:id="rId5" xr:uid="{8557AFB8-B05B-42C1-AA77-DFF7F3D3587A}"/>
    <hyperlink ref="AA11" r:id="rId6" xr:uid="{2894F4BF-3431-4CD3-8839-06EAFE8F7723}"/>
    <hyperlink ref="AA12" r:id="rId7" xr:uid="{C6F27342-5E6E-4B6A-BC68-CC0867C5ADB8}"/>
    <hyperlink ref="F24" r:id="rId8" xr:uid="{19254C9E-8F77-4EB7-A44C-D1A82AF65E49}"/>
    <hyperlink ref="F44" r:id="rId9" xr:uid="{BA80D997-1E00-4206-969C-8F3B7922D674}"/>
    <hyperlink ref="I49" r:id="rId10" xr:uid="{0B99F0B4-14FE-49BB-A3C5-CC67C930FFA1}"/>
  </hyperlinks>
  <pageMargins left="0.7" right="0.7" top="0.78740157499999996" bottom="0.78740157499999996" header="0.3" footer="0.3"/>
  <drawing r:id="rId1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FBFEDD-9FEE-44C5-832E-0B7519162E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Kubik, Petr</dc:creator>
  <cp:lastModifiedBy>Kubik, Petr</cp:lastModifiedBy>
  <dcterms:created xsi:type="dcterms:W3CDTF">2025-01-28T11:33:13Z</dcterms:created>
  <dcterms:modified xsi:type="dcterms:W3CDTF">2025-04-23T09:50:00Z</dcterms:modified>
</cp:coreProperties>
</file>