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harts/chart1.xml" ContentType="application/vnd.openxmlformats-officedocument.drawingml.chart+xml"/>
  <Override PartName="/xl/charts/chart2.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29"/>
  <workbookPr codeName="ThisWorkbook" defaultThemeVersion="124226"/>
  <mc:AlternateContent xmlns:mc="http://schemas.openxmlformats.org/markup-compatibility/2006">
    <mc:Choice Requires="x15">
      <x15ac:absPath xmlns:x15ac="http://schemas.microsoft.com/office/spreadsheetml/2010/11/ac" url="C:\Users\czoldhuc\Downloads\"/>
    </mc:Choice>
  </mc:AlternateContent>
  <xr:revisionPtr revIDLastSave="0" documentId="13_ncr:1_{D45C9BF8-CD4F-499A-8A61-042665A5681D}" xr6:coauthVersionLast="47" xr6:coauthVersionMax="47" xr10:uidLastSave="{00000000-0000-0000-0000-000000000000}"/>
  <bookViews>
    <workbookView xWindow="-120" yWindow="-120" windowWidth="29040" windowHeight="15840" tabRatio="433" xr2:uid="{00000000-000D-0000-FFFF-FFFF00000000}"/>
  </bookViews>
  <sheets>
    <sheet name="Form" sheetId="1" r:id="rId1"/>
    <sheet name="Modules" sheetId="2" r:id="rId2"/>
    <sheet name="Regulator" sheetId="3" r:id="rId3"/>
    <sheet name="Calculation table" sheetId="4" r:id="rId4"/>
    <sheet name="Language" sheetId="10" r:id="rId5"/>
    <sheet name="Version" sheetId="9" r:id="rId6"/>
    <sheet name="List1" sheetId="11" r:id="rId7"/>
  </sheets>
  <definedNames>
    <definedName name="_xlnm._FilterDatabase" localSheetId="1" hidden="1">Modules!$A$2:$Z$29</definedName>
    <definedName name="_xlnm.Print_Area" localSheetId="0">Form!$A$1:$H$29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18" i="2" l="1"/>
  <c r="A19" i="2"/>
  <c r="A20" i="2"/>
  <c r="A21" i="2"/>
  <c r="A22" i="2"/>
  <c r="A18" i="3" l="1"/>
  <c r="A19" i="3"/>
  <c r="A20" i="3"/>
  <c r="A21" i="3"/>
  <c r="A22" i="3"/>
  <c r="A23" i="3"/>
  <c r="A24" i="3"/>
  <c r="A25" i="3"/>
  <c r="A26" i="3"/>
  <c r="A27" i="3"/>
  <c r="A28" i="3"/>
  <c r="A29" i="3"/>
  <c r="A30" i="3"/>
  <c r="A6" i="3"/>
  <c r="A7" i="3"/>
  <c r="A8" i="3"/>
  <c r="D17" i="4" l="1"/>
  <c r="A17" i="3" l="1"/>
  <c r="A16" i="3" l="1"/>
  <c r="A15" i="3"/>
  <c r="A14" i="3"/>
  <c r="A10" i="2" l="1"/>
  <c r="A13" i="3"/>
  <c r="A10" i="3"/>
  <c r="A11" i="3"/>
  <c r="A12" i="3"/>
  <c r="J14" i="1"/>
  <c r="J13" i="1"/>
  <c r="J12" i="1"/>
  <c r="J11" i="1"/>
  <c r="F18" i="1"/>
  <c r="B17" i="4"/>
  <c r="F22" i="1"/>
  <c r="A6" i="2" l="1"/>
  <c r="A3" i="2"/>
  <c r="A17" i="2"/>
  <c r="A12" i="2"/>
  <c r="H27" i="1" l="1"/>
  <c r="G27" i="1"/>
  <c r="A34" i="1"/>
  <c r="C40" i="2" l="1"/>
  <c r="C35" i="2"/>
  <c r="H31" i="1" l="1"/>
  <c r="A31" i="1"/>
  <c r="B17" i="1"/>
  <c r="F16" i="1"/>
  <c r="B16" i="1"/>
  <c r="B14" i="1"/>
  <c r="G35" i="1"/>
  <c r="G40" i="1" l="1"/>
  <c r="G39" i="1"/>
  <c r="G38" i="1"/>
  <c r="G37" i="1"/>
  <c r="G36" i="1"/>
  <c r="G34" i="1"/>
  <c r="G16" i="1" l="1"/>
  <c r="B22" i="4" s="1"/>
  <c r="A5" i="3" l="1"/>
  <c r="A9" i="3" l="1"/>
  <c r="A35" i="1"/>
  <c r="A36" i="1"/>
  <c r="A37" i="1"/>
  <c r="A38" i="1"/>
  <c r="A39" i="1"/>
  <c r="A40" i="1"/>
  <c r="R1" i="1" l="1"/>
  <c r="J1" i="1"/>
  <c r="B23" i="1"/>
  <c r="F1" i="10"/>
  <c r="E1" i="10"/>
  <c r="D1" i="10"/>
  <c r="C1" i="10"/>
  <c r="B1" i="10"/>
  <c r="H33" i="1"/>
  <c r="F10" i="1"/>
  <c r="G33" i="1"/>
  <c r="D10" i="1"/>
  <c r="A33" i="1"/>
  <c r="B27" i="1"/>
  <c r="B25" i="1"/>
  <c r="B22" i="1"/>
  <c r="B21" i="1"/>
  <c r="B20" i="1"/>
  <c r="B19" i="1"/>
  <c r="H1" i="11" s="1"/>
  <c r="B18" i="1"/>
  <c r="B12" i="1"/>
  <c r="B10" i="1"/>
  <c r="E8" i="1"/>
  <c r="B8" i="1"/>
  <c r="F6" i="1"/>
  <c r="B6" i="1"/>
  <c r="B4" i="1"/>
  <c r="B7" i="4"/>
  <c r="E10" i="1" l="1"/>
  <c r="B4" i="4" s="1"/>
  <c r="A38" i="4" s="1"/>
  <c r="B40" i="4"/>
  <c r="A4" i="3"/>
  <c r="D8" i="1"/>
  <c r="B14" i="4"/>
  <c r="B12" i="4"/>
  <c r="B13" i="4" s="1"/>
  <c r="B10" i="4"/>
  <c r="B9" i="4"/>
  <c r="B8" i="4"/>
  <c r="B5" i="4"/>
  <c r="A45" i="4" s="1"/>
  <c r="A44" i="4" s="1"/>
  <c r="A43" i="4" s="1"/>
  <c r="A42" i="4" s="1"/>
  <c r="B29" i="4"/>
  <c r="D18" i="4"/>
  <c r="A3" i="3"/>
  <c r="A2" i="3"/>
  <c r="B33" i="4"/>
  <c r="B35" i="4"/>
  <c r="B30" i="4"/>
  <c r="B32" i="4"/>
  <c r="D42" i="4" l="1"/>
  <c r="B18" i="4"/>
  <c r="A18" i="4" s="1"/>
  <c r="B44" i="4"/>
  <c r="B39" i="4"/>
  <c r="B42" i="4"/>
  <c r="B38" i="4"/>
  <c r="B41" i="4"/>
  <c r="B43" i="4"/>
  <c r="B31" i="4"/>
  <c r="B28" i="4"/>
  <c r="B34" i="4"/>
  <c r="B15" i="4"/>
  <c r="C42" i="4" s="1"/>
  <c r="B45" i="4"/>
  <c r="A35" i="4"/>
  <c r="A34" i="4" s="1"/>
  <c r="A33" i="4" s="1"/>
  <c r="A32" i="4" s="1"/>
  <c r="I32" i="4" s="1"/>
  <c r="A28" i="4"/>
  <c r="E28" i="4" s="1"/>
  <c r="C33" i="4" l="1"/>
  <c r="B19" i="4"/>
  <c r="D32" i="4" s="1"/>
  <c r="F35" i="4"/>
  <c r="F34" i="4"/>
  <c r="F32" i="4"/>
  <c r="F33" i="4"/>
  <c r="H32" i="4"/>
  <c r="I33" i="4"/>
  <c r="I34" i="4"/>
  <c r="H34" i="4"/>
  <c r="H33" i="4"/>
  <c r="H35" i="4"/>
  <c r="I35" i="4"/>
  <c r="F28" i="4"/>
  <c r="C44" i="4"/>
  <c r="C45" i="4"/>
  <c r="C43" i="4"/>
  <c r="D44" i="4"/>
  <c r="D39" i="4"/>
  <c r="C31" i="4"/>
  <c r="F18" i="4"/>
  <c r="D19" i="4" s="1"/>
  <c r="B11" i="4"/>
  <c r="D40" i="4"/>
  <c r="C28" i="4"/>
  <c r="C30" i="4"/>
  <c r="C32" i="4"/>
  <c r="D45" i="4"/>
  <c r="C29" i="4"/>
  <c r="C34" i="4"/>
  <c r="D38" i="4"/>
  <c r="D41" i="4"/>
  <c r="C35" i="4"/>
  <c r="D43" i="4"/>
  <c r="A29" i="4"/>
  <c r="F29" i="4" s="1"/>
  <c r="F19" i="1"/>
  <c r="C38" i="4"/>
  <c r="A39" i="4"/>
  <c r="D30" i="4" l="1"/>
  <c r="G42" i="4"/>
  <c r="G45" i="4"/>
  <c r="G25" i="1" s="1"/>
  <c r="G44" i="4"/>
  <c r="G43" i="4"/>
  <c r="H3" i="11"/>
  <c r="B26" i="11"/>
  <c r="G38" i="4"/>
  <c r="G23" i="1" s="1"/>
  <c r="D29" i="4"/>
  <c r="D34" i="4"/>
  <c r="D31" i="4"/>
  <c r="D35" i="4"/>
  <c r="D28" i="4"/>
  <c r="F20" i="1"/>
  <c r="D33" i="4"/>
  <c r="F43" i="4"/>
  <c r="J33" i="4" s="1"/>
  <c r="F42" i="4"/>
  <c r="J32" i="4" s="1"/>
  <c r="F44" i="4"/>
  <c r="J34" i="4" s="1"/>
  <c r="F45" i="4"/>
  <c r="C39" i="4"/>
  <c r="G39" i="4" s="1"/>
  <c r="A40" i="4"/>
  <c r="E29" i="4"/>
  <c r="A30" i="4"/>
  <c r="F30" i="4" s="1"/>
  <c r="E39" i="4" l="1"/>
  <c r="G29" i="4" s="1"/>
  <c r="F30" i="1"/>
  <c r="F29" i="1"/>
  <c r="F25" i="1"/>
  <c r="J35" i="4"/>
  <c r="F21" i="1" s="1"/>
  <c r="A41" i="4"/>
  <c r="C41" i="4" s="1"/>
  <c r="C40" i="4"/>
  <c r="G40" i="4" s="1"/>
  <c r="E30" i="4"/>
  <c r="A31" i="4"/>
  <c r="F31" i="4" s="1"/>
  <c r="B27" i="11" l="1"/>
  <c r="F26" i="1"/>
  <c r="B29" i="11"/>
  <c r="G41" i="4"/>
  <c r="E40" i="4"/>
  <c r="G30" i="4" s="1"/>
  <c r="E31" i="4"/>
  <c r="E41" i="4"/>
  <c r="G31" i="4" s="1"/>
  <c r="E38" i="4"/>
  <c r="G28" i="4" s="1"/>
  <c r="F23" i="1" l="1"/>
  <c r="F27" i="1" l="1"/>
  <c r="B28" i="11"/>
  <c r="F24" i="1"/>
</calcChain>
</file>

<file path=xl/sharedStrings.xml><?xml version="1.0" encoding="utf-8"?>
<sst xmlns="http://schemas.openxmlformats.org/spreadsheetml/2006/main" count="525" uniqueCount="389">
  <si>
    <t>Manufacturer</t>
  </si>
  <si>
    <t>Type</t>
  </si>
  <si>
    <t>Power</t>
  </si>
  <si>
    <t>Isc</t>
  </si>
  <si>
    <t>Impp</t>
  </si>
  <si>
    <t>I temp coeff</t>
  </si>
  <si>
    <t>Victron Energy</t>
  </si>
  <si>
    <t>BlueSolar MPPT 75/15</t>
  </si>
  <si>
    <t>BlueSolar MPPT 75/50</t>
  </si>
  <si>
    <t>BlueSolar MPPT 150/70</t>
  </si>
  <si>
    <t>Min.</t>
  </si>
  <si>
    <t xml:space="preserve">Max. </t>
  </si>
  <si>
    <t>Power @ 12V</t>
  </si>
  <si>
    <t>Power @ 24V</t>
  </si>
  <si>
    <t>Power @ 36V</t>
  </si>
  <si>
    <t>Power @ 48V</t>
  </si>
  <si>
    <t>Temperature</t>
  </si>
  <si>
    <t>min</t>
  </si>
  <si>
    <t>max</t>
  </si>
  <si>
    <t>System voltage</t>
  </si>
  <si>
    <t>Volt</t>
  </si>
  <si>
    <t>System Voltage</t>
  </si>
  <si>
    <t>Total PV power:</t>
  </si>
  <si>
    <t>Ibat max</t>
  </si>
  <si>
    <t>Temp. Coeff. Isc</t>
  </si>
  <si>
    <t>Temp. Coeff. Isc absolute</t>
  </si>
  <si>
    <t>RESULTS:</t>
  </si>
  <si>
    <t>DATA:</t>
  </si>
  <si>
    <t>Max. input voltage</t>
  </si>
  <si>
    <t>Efficiency@12</t>
  </si>
  <si>
    <t>Efficiency@24</t>
  </si>
  <si>
    <t>Efficiency@36</t>
  </si>
  <si>
    <t>Efficiency@48</t>
  </si>
  <si>
    <t>Max. Efficiency</t>
  </si>
  <si>
    <t>Voltage window</t>
  </si>
  <si>
    <t>Current window</t>
  </si>
  <si>
    <t>Min. input voltage @ MPP</t>
  </si>
  <si>
    <t>BlueSolar MPPT 100/15</t>
  </si>
  <si>
    <t>Impp output @25°C</t>
  </si>
  <si>
    <t>Isc PV@25°C</t>
  </si>
  <si>
    <t>Impp PV @25°C</t>
  </si>
  <si>
    <t>History</t>
  </si>
  <si>
    <t xml:space="preserve">- Inserted BlueSolar MPPT 100/15 </t>
  </si>
  <si>
    <t>- Inserted custom module</t>
  </si>
  <si>
    <t>- First version</t>
  </si>
  <si>
    <t>Max. PV voltage @ min. temperature</t>
  </si>
  <si>
    <t>Min. PV voltage @ max. temperature</t>
  </si>
  <si>
    <t>Location:</t>
  </si>
  <si>
    <t>In series:</t>
  </si>
  <si>
    <t>Parallel:</t>
  </si>
  <si>
    <t>System voltage:</t>
  </si>
  <si>
    <t>Pitched roof in warm region (good ventilation)</t>
  </si>
  <si>
    <t>Regulator info:</t>
  </si>
  <si>
    <t>Solar module configuration</t>
  </si>
  <si>
    <t>- Reduced output current to maximum output current at low &amp; high temperatures. Now a system will show 'power loss' only wenn the output current exceeds the max. at low &amp; high temperatures.</t>
  </si>
  <si>
    <t>- Power reduction comment set @ highest temperature.</t>
  </si>
  <si>
    <t>1.4</t>
  </si>
  <si>
    <t>1.3</t>
  </si>
  <si>
    <t>1.2</t>
  </si>
  <si>
    <t>1.1</t>
  </si>
  <si>
    <t>1.0</t>
  </si>
  <si>
    <t>Example locations with expected temperatures:</t>
  </si>
  <si>
    <t>Pitched on boat (good ventilation)</t>
  </si>
  <si>
    <t>Flat on boat (poor ventilation)</t>
  </si>
  <si>
    <t>Voc @25°C</t>
  </si>
  <si>
    <t>Vmpp @25°C</t>
  </si>
  <si>
    <t>Temp. Coeff. Voc</t>
  </si>
  <si>
    <t>Temp. Coeff. Voc absolute</t>
  </si>
  <si>
    <t>Voc max</t>
  </si>
  <si>
    <t>Voc min</t>
  </si>
  <si>
    <t>Vmpp min</t>
  </si>
  <si>
    <t>Voc max.</t>
  </si>
  <si>
    <t>Pitched roof in average region (good ventilation)</t>
  </si>
  <si>
    <t>Pitched roof on mountain (good ventilation)</t>
  </si>
  <si>
    <t>Module:</t>
  </si>
  <si>
    <t>Max. output current</t>
  </si>
  <si>
    <t>Voc START min.</t>
  </si>
  <si>
    <t>Vmpp RUN min.</t>
  </si>
  <si>
    <t>String Voc max.</t>
  </si>
  <si>
    <t>String Vmpp max.</t>
  </si>
  <si>
    <t>String Voc min.</t>
  </si>
  <si>
    <t>String Vmpp min.</t>
  </si>
  <si>
    <t>Impp PV max.</t>
  </si>
  <si>
    <t>Ibat max.</t>
  </si>
  <si>
    <t>Module info:</t>
  </si>
  <si>
    <t>Max. current @ MPP min. temp.</t>
  </si>
  <si>
    <t>Max. current @ MPP max. temp.</t>
  </si>
  <si>
    <t>Controller:</t>
  </si>
  <si>
    <t>Ibat max. @ Impp</t>
  </si>
  <si>
    <t>Ibat min. @ Impp</t>
  </si>
  <si>
    <t>ENGLISH</t>
  </si>
  <si>
    <t>Pos.</t>
  </si>
  <si>
    <t>ESPANGOL</t>
  </si>
  <si>
    <t>DEUTSCH</t>
  </si>
  <si>
    <t>Modul:</t>
  </si>
  <si>
    <t>FRANCAIS</t>
  </si>
  <si>
    <t>1.5</t>
  </si>
  <si>
    <t>In Reihe:</t>
  </si>
  <si>
    <t>En serie:</t>
  </si>
  <si>
    <t>Wp</t>
  </si>
  <si>
    <t>Wc</t>
  </si>
  <si>
    <t>Puissance PV totale:</t>
  </si>
  <si>
    <t>Max.</t>
  </si>
  <si>
    <t>PV Leistung insgesamt:</t>
  </si>
  <si>
    <t>Regler:</t>
  </si>
  <si>
    <t>System Spannung:</t>
  </si>
  <si>
    <t>Max. Eingangspannung:</t>
  </si>
  <si>
    <t>Min. Eingangspannung @ MPP</t>
  </si>
  <si>
    <t>Max. Ausgangstrom</t>
  </si>
  <si>
    <t>Max. Strom @ MPP min. Temp.</t>
  </si>
  <si>
    <t>Max. Strom @ MPP max. Temp.</t>
  </si>
  <si>
    <t>Solar Modul Auslegung</t>
  </si>
  <si>
    <t>Max. PV Spannung @ min. Temp.</t>
  </si>
  <si>
    <t>Min. PV Spannung @ max. Temp.</t>
  </si>
  <si>
    <t>N.A.</t>
  </si>
  <si>
    <t>Geneigt auf Boot (gute Hinterlüftung)</t>
  </si>
  <si>
    <t>Schrägdach, warme Umgebung (gute Hinterlüftung)</t>
  </si>
  <si>
    <t>Schrägdach, mittlere Regio (gute Hinterlüftung)</t>
  </si>
  <si>
    <t>Schrägdach, in Bergen (gute Hinterlüftung)</t>
  </si>
  <si>
    <t>* Leistung Begrenzung @ niedrige Temp.</t>
  </si>
  <si>
    <t>** Leistung Begrenzung @ hohe Temp.</t>
  </si>
  <si>
    <t>Spannungsfenster</t>
  </si>
  <si>
    <t>Stromfenster</t>
  </si>
  <si>
    <t>Módulo FV:</t>
  </si>
  <si>
    <t>En paralelo:</t>
  </si>
  <si>
    <t>Potencia total FV:</t>
  </si>
  <si>
    <t xml:space="preserve">Temp. módulo FV </t>
  </si>
  <si>
    <t>Reguladorr:</t>
  </si>
  <si>
    <t>Voltaje del sistema:</t>
  </si>
  <si>
    <t>Voltaje max. de entrada</t>
  </si>
  <si>
    <t>Voltaje max. FV @ Temperatura min.</t>
  </si>
  <si>
    <t>Voltaje min. de entrada  @ PMP</t>
  </si>
  <si>
    <t>Voltaje min. FV @ Temperatura max.</t>
  </si>
  <si>
    <t>Corriente max. de salida</t>
  </si>
  <si>
    <t>Corriente max. @ PMP temp. min.</t>
  </si>
  <si>
    <t>Corriente max. @ PMP temp. max.</t>
  </si>
  <si>
    <t>Configuración del módulo FV</t>
  </si>
  <si>
    <t>Ejemplos de lugares con temperaturas previstas:</t>
  </si>
  <si>
    <t>Plano sobre una autocaravana, durante todo el año (mala ventilación)</t>
  </si>
  <si>
    <t>Plano sobre una autocaravana, sólo en verano (mala ventilación)</t>
  </si>
  <si>
    <t>Plano sobre el techo de un barco (mala ventilación)</t>
  </si>
  <si>
    <t>Inclinado sobre el techo de un barco (buena ventilación)</t>
  </si>
  <si>
    <t>Techo inclinado en una región cálida (buena ventilación)</t>
  </si>
  <si>
    <t>Techo inclinado en una región templada (buena ventilación)</t>
  </si>
  <si>
    <t>Techo inclinado en las montañas (buena ventilación)</t>
  </si>
  <si>
    <t>* Reducción de potencia @ Temp. baja</t>
  </si>
  <si>
    <t>** Reducción de potencia @ Temp. alta</t>
  </si>
  <si>
    <t>Ventana de voltaje</t>
  </si>
  <si>
    <t>Tension du système:</t>
  </si>
  <si>
    <t>Tension d'entrée max.:</t>
  </si>
  <si>
    <t>PV tension max. @ temp. min.</t>
  </si>
  <si>
    <t>PV tension min. @ temp. max.</t>
  </si>
  <si>
    <t>Tension d'entrée min. @ MPP</t>
  </si>
  <si>
    <t>Courant de sortie max.</t>
  </si>
  <si>
    <t>Courant max. @ MPP temp. min.</t>
  </si>
  <si>
    <t>Courant max. @ MPP temp. max.</t>
  </si>
  <si>
    <t>Beispiel Standort und erwartete Temperatur:</t>
  </si>
  <si>
    <t>Flach auf Wohnmobil, ganze Jahr (schlechte Hinterlüftung)</t>
  </si>
  <si>
    <t>Flach auf Wohnmobil, nur Sommer (schlechte Hinterlüftung)</t>
  </si>
  <si>
    <t>Flach auf Boot (schlechte Hinterlüftung)</t>
  </si>
  <si>
    <t>À plat sur ​​le bateau (mauvaise ventilation)</t>
  </si>
  <si>
    <t>* Limitation de puissance @ basse temp.</t>
  </si>
  <si>
    <t>** Limitation de puissance @ haute temp.</t>
  </si>
  <si>
    <t>* Power limiting @ low temp.</t>
  </si>
  <si>
    <t>** Power limiting @ high temp.</t>
  </si>
  <si>
    <t>Parallèle:</t>
  </si>
  <si>
    <t>Exemple de localisation de site avec la température attendue:</t>
  </si>
  <si>
    <t>À plat sur toit de camping-car  toute l'année (mauvaise ventilation)</t>
  </si>
  <si>
    <t>À plat sur camping-car , seulement l'été (mauvaise ventilation)</t>
  </si>
  <si>
    <t>Inclinée sur bateau (bonne ventilation)</t>
  </si>
  <si>
    <t>Toit en pente, en région chaude (bonne ventilation)</t>
  </si>
  <si>
    <t>Toit en pente, région tempérée (bonne ventilation)</t>
  </si>
  <si>
    <t>Toit en pente, en montagne (bonne ventilation)</t>
  </si>
  <si>
    <t>Fourchette de courant</t>
  </si>
  <si>
    <t>Panneau:</t>
  </si>
  <si>
    <t>Température Paneau:</t>
  </si>
  <si>
    <t>Régulateur:</t>
  </si>
  <si>
    <t>Configuration du panneau</t>
  </si>
  <si>
    <t>Modul Temperatur:</t>
  </si>
  <si>
    <t>Module temperature:</t>
  </si>
  <si>
    <t>Fourchette de tension</t>
  </si>
  <si>
    <t>BlueSolar MPPT 150/85</t>
  </si>
  <si>
    <t>BlueSolar MPPT 100/50</t>
  </si>
  <si>
    <t>BlueSolar MPPT 100/30</t>
  </si>
  <si>
    <t>BlueSolar MPPT 150/35</t>
  </si>
  <si>
    <t>1.6</t>
  </si>
  <si>
    <t>- Changed texts and Module temperature window.</t>
  </si>
  <si>
    <t>- Inserted 4 languages @ updated not applicable (N.A.) voltages for 75/15, 75/50 &amp; 100/15.</t>
  </si>
  <si>
    <t>- Inserted 4 new regulators and 2 more custom module.</t>
  </si>
  <si>
    <t xml:space="preserve">Voltage drop: </t>
  </si>
  <si>
    <t>1.7</t>
  </si>
  <si>
    <t>Cupper resistance</t>
  </si>
  <si>
    <t>String Vmpp corr.max.</t>
  </si>
  <si>
    <t>String Vmpp corr. min.</t>
  </si>
  <si>
    <t>Factor</t>
  </si>
  <si>
    <t>Cable length, Module to MPPT *</t>
  </si>
  <si>
    <t>* One way length</t>
  </si>
  <si>
    <t>Yes</t>
  </si>
  <si>
    <t>No</t>
  </si>
  <si>
    <t>Are the solar modules covered with snow many periods a year?</t>
  </si>
  <si>
    <t>Ja</t>
  </si>
  <si>
    <t>Kabel Länge, Modul zum MPPT *</t>
  </si>
  <si>
    <t>* Einfache Distanz</t>
  </si>
  <si>
    <t>Sind die Solar Module öfters im Jahr bedeckt mit Schnee?</t>
  </si>
  <si>
    <t>Nein</t>
  </si>
  <si>
    <t>Oui</t>
  </si>
  <si>
    <t>Non</t>
  </si>
  <si>
    <t>Longuer cable, Paneaux à MPPT *</t>
  </si>
  <si>
    <t> * Longitud de un solo cable</t>
  </si>
  <si>
    <t> ¿Los módulos están cubiertos con nieve durante muchos períodos del año?</t>
  </si>
  <si>
    <t>Si</t>
  </si>
  <si>
    <t>Cross-section:</t>
  </si>
  <si>
    <t>Querschnitt:</t>
  </si>
  <si>
    <t>Section:</t>
  </si>
  <si>
    <t>* La distance simple</t>
  </si>
  <si>
    <t>- Added new solar modules, voltage drop correction and an option to rise the cell temperature in the example list, when the solar modules do not see snow and therefor temperatures will not be so low.</t>
  </si>
  <si>
    <t>Vmpp</t>
  </si>
  <si>
    <t>Voc</t>
  </si>
  <si>
    <t>V temp coeff</t>
  </si>
  <si>
    <t>Flat on mobile home, all year (poor ventilation)</t>
  </si>
  <si>
    <t>Flat on mobile home, only summer (poor ventilation)</t>
  </si>
  <si>
    <t>[name]</t>
  </si>
  <si>
    <t>[W]</t>
  </si>
  <si>
    <t>[V]</t>
  </si>
  <si>
    <t>[A]</t>
  </si>
  <si>
    <t>[%/°C]</t>
  </si>
  <si>
    <t>If you have the voltage temperature coefficient in mV/°C, here is how to change it to %/°C</t>
  </si>
  <si>
    <t>Write the Voc value in Volt:</t>
  </si>
  <si>
    <t>Write the coefficient value in mV/°C:</t>
  </si>
  <si>
    <t>The coefficent value in %/°C is now:</t>
  </si>
  <si>
    <t>If you have the current temperature coefficient in mA/°C, here is how to change it to %/°C</t>
  </si>
  <si>
    <t>Write the Isc value in Ampere:</t>
  </si>
  <si>
    <t>Write the coefficient value in mA/°C:</t>
  </si>
  <si>
    <t>V</t>
  </si>
  <si>
    <t>mV/°C</t>
  </si>
  <si>
    <t>%/°C</t>
  </si>
  <si>
    <t>A</t>
  </si>
  <si>
    <t>mA/°C</t>
  </si>
  <si>
    <t>1.8</t>
  </si>
  <si>
    <t>- Added a small calculation on the 'Modules' TAB  to help when temperature coefficiences are not in %/°C or %/°K but in mV/°C or mA/°C</t>
  </si>
  <si>
    <t>Coefficient support:</t>
  </si>
  <si>
    <t>1.9</t>
  </si>
  <si>
    <t>- Added new solar modules, and now 10 additional modules can be added instead of 3.</t>
  </si>
  <si>
    <t>Sección:</t>
  </si>
  <si>
    <t>Largo de cable entre modulo y MPPT *</t>
  </si>
  <si>
    <t>Cuantos módulos? En Serie:</t>
  </si>
  <si>
    <t>Ventana de corriente</t>
  </si>
  <si>
    <t>Les panneaux PV sont-ils souvent couverts de neige ?</t>
  </si>
  <si>
    <t>Accepted</t>
  </si>
  <si>
    <t>Accepté</t>
  </si>
  <si>
    <t>Aceptado</t>
  </si>
  <si>
    <t>NOT accepted</t>
  </si>
  <si>
    <t>PAS accepté</t>
  </si>
  <si>
    <t>NO aceptado</t>
  </si>
  <si>
    <t>Erlaubt</t>
  </si>
  <si>
    <t>NICHT erlaubt</t>
  </si>
  <si>
    <t>Sunny Poly 270Wp 60 cells</t>
  </si>
  <si>
    <t>270 VL4</t>
  </si>
  <si>
    <t xml:space="preserve">Sunny Poly 160Wp 36 cells </t>
  </si>
  <si>
    <t>EPEVER</t>
  </si>
  <si>
    <t>PMw= BATTERY VOLTAGE</t>
  </si>
  <si>
    <t>Jinko Solar 225 Wp</t>
  </si>
  <si>
    <t>JKM245p-60</t>
  </si>
  <si>
    <t>Einnova ESP280</t>
  </si>
  <si>
    <t>GWL/Sunny-60 cells</t>
  </si>
  <si>
    <t>Amerisolar</t>
  </si>
  <si>
    <t>AS-EU-6P30- 285W</t>
  </si>
  <si>
    <t>Scheuten Solar 210 Wp P6-54</t>
  </si>
  <si>
    <t>Scheuten Solar 210 Wp</t>
  </si>
  <si>
    <t>P6-54</t>
  </si>
  <si>
    <t>GWL/POWER</t>
  </si>
  <si>
    <t>String I max.</t>
  </si>
  <si>
    <t>Actual current</t>
  </si>
  <si>
    <t xml:space="preserve">EPsolar PMW VS2024AU </t>
  </si>
  <si>
    <t>EPsolar XTRA3210</t>
  </si>
  <si>
    <t>Modul</t>
  </si>
  <si>
    <t>Amerisolar AS-EU-6P30- 285W</t>
  </si>
  <si>
    <t>GWL/POWER HS 150W 36cells</t>
  </si>
  <si>
    <t>Modul type</t>
  </si>
  <si>
    <t>Regulator type</t>
  </si>
  <si>
    <t>285W</t>
  </si>
  <si>
    <t>W</t>
  </si>
  <si>
    <t xml:space="preserve">Vmpp </t>
  </si>
  <si>
    <t xml:space="preserve">Impp </t>
  </si>
  <si>
    <t xml:space="preserve">Modul </t>
  </si>
  <si>
    <t>Capacity C20</t>
  </si>
  <si>
    <t>Ah</t>
  </si>
  <si>
    <t>Recommended charge</t>
  </si>
  <si>
    <t>Rolls  4000 S105 blok 12V 106Ah</t>
  </si>
  <si>
    <t>DHM60</t>
  </si>
  <si>
    <t>300W</t>
  </si>
  <si>
    <t>Amerisolar 320Wp</t>
  </si>
  <si>
    <t>AS-6M30</t>
  </si>
  <si>
    <t>Jinko PERC</t>
  </si>
  <si>
    <t>JKM315M-60-V</t>
  </si>
  <si>
    <t>ESX-340M-B</t>
  </si>
  <si>
    <t>Max temp. Watt</t>
  </si>
  <si>
    <t>Min temp. Watt</t>
  </si>
  <si>
    <t>AS-6M144-HC-450W</t>
  </si>
  <si>
    <t>XTRA1206N</t>
  </si>
  <si>
    <t>XTRA1210N</t>
  </si>
  <si>
    <t>XTRA2210N</t>
  </si>
  <si>
    <t>XTRA3210N</t>
  </si>
  <si>
    <t>XTRA3215N</t>
  </si>
  <si>
    <t>XTRA4210N</t>
  </si>
  <si>
    <t>XTRA3415N</t>
  </si>
  <si>
    <t>XTRA4415N</t>
  </si>
  <si>
    <t>WINAICO  325 WST-M6 PERC MONO 325W</t>
  </si>
  <si>
    <t>WINAICO  325 WST-M6 PERC MONO</t>
  </si>
  <si>
    <t>325W</t>
  </si>
  <si>
    <t>1665x999x35</t>
  </si>
  <si>
    <t>IBC 320 ZL-MB BLACK</t>
  </si>
  <si>
    <t>IBC</t>
  </si>
  <si>
    <t>320 ZL-MB BLACK</t>
  </si>
  <si>
    <t>1696x1022x40</t>
  </si>
  <si>
    <t>Swiss solar</t>
  </si>
  <si>
    <t xml:space="preserve"> IBEX 132MHC-EiGER</t>
  </si>
  <si>
    <t>(NOCT)GWL EXS-450MHC-B 363W</t>
  </si>
  <si>
    <t>(NOCT)GWL EXS-450MHC-B</t>
  </si>
  <si>
    <t>363W</t>
  </si>
  <si>
    <t>(STC)GWL EXS-450MHC-B</t>
  </si>
  <si>
    <t>450W</t>
  </si>
  <si>
    <t>GWL EXS-380MHC-B</t>
  </si>
  <si>
    <t>380W</t>
  </si>
  <si>
    <t>Jinko Solar 225 Wp JKM245p-60</t>
  </si>
  <si>
    <t>Einnova ESP280 GWL/Sunny-60 cells</t>
  </si>
  <si>
    <t>DHM60 300W</t>
  </si>
  <si>
    <t>(STC) GWLEXS-340M-B 340W</t>
  </si>
  <si>
    <t>(STC) GWLEXS-340M-B</t>
  </si>
  <si>
    <t>340W</t>
  </si>
  <si>
    <t xml:space="preserve"> (NOCT) GWL EXS-340M-B 253W</t>
  </si>
  <si>
    <t xml:space="preserve"> (NOCT) GWL EXS-340M-B</t>
  </si>
  <si>
    <t>253W</t>
  </si>
  <si>
    <t>Panel</t>
  </si>
  <si>
    <t>V serii</t>
  </si>
  <si>
    <t>Paralelně</t>
  </si>
  <si>
    <t>Celkový výkon PV</t>
  </si>
  <si>
    <t>Teplota panelu</t>
  </si>
  <si>
    <t>Regulátor</t>
  </si>
  <si>
    <t>Systémové napětí</t>
  </si>
  <si>
    <t>Max vstup napětí</t>
  </si>
  <si>
    <t>Max napětí PV MIN Teplota</t>
  </si>
  <si>
    <t>Min napětí PV MAX Teplota</t>
  </si>
  <si>
    <t>Min vstup napětí @ MPP</t>
  </si>
  <si>
    <t>Max výstup proud</t>
  </si>
  <si>
    <t>Max proud@ MPP min. temp.</t>
  </si>
  <si>
    <t>Max proud @ MPP max. temp.</t>
  </si>
  <si>
    <t>Konfigurace panelů</t>
  </si>
  <si>
    <t>Příklad lokací  s očekávanou teplotou</t>
  </si>
  <si>
    <t>Plochá karavan,léto,špatná ventilace</t>
  </si>
  <si>
    <t>Plochá karavan ,celý rok,špatná ventilace</t>
  </si>
  <si>
    <t>Plochá na lodi, dobrá ventilace</t>
  </si>
  <si>
    <t>Zvednutá na lodi</t>
  </si>
  <si>
    <t>Zvednutá na střeše, teplý region</t>
  </si>
  <si>
    <t>Zvednutá na střeše, průměr region</t>
  </si>
  <si>
    <t>Zvednutá na střeše, studený region</t>
  </si>
  <si>
    <t>* Výkonový limit @ nizká tep.</t>
  </si>
  <si>
    <t>** Výkonový limit @ vysoká tep.</t>
  </si>
  <si>
    <t>Proudové okno</t>
  </si>
  <si>
    <t>Napětové okno</t>
  </si>
  <si>
    <t>Délka Kabelu do MPPT *</t>
  </si>
  <si>
    <t>Průřez:</t>
  </si>
  <si>
    <t>* Délka jedním směrem</t>
  </si>
  <si>
    <t>Ano</t>
  </si>
  <si>
    <t>Ne</t>
  </si>
  <si>
    <t>áno</t>
  </si>
  <si>
    <t>Akceptováno</t>
  </si>
  <si>
    <t>Neakceptováno</t>
  </si>
  <si>
    <t>Czech</t>
  </si>
  <si>
    <t xml:space="preserve">CZ      </t>
  </si>
  <si>
    <t>Axpert</t>
  </si>
  <si>
    <t>King 48V 5000W PF1 60-115V</t>
  </si>
  <si>
    <t>VM III 48V 5000W PF1 120-450V</t>
  </si>
  <si>
    <t>KING 48V 5000W 60-115V</t>
  </si>
  <si>
    <t>Tracer 5415 AN</t>
  </si>
  <si>
    <t>Tracer 6415 AN</t>
  </si>
  <si>
    <t>Tracer 8415 AN</t>
  </si>
  <si>
    <t>Tracer 10415 AN</t>
  </si>
  <si>
    <t>Tracer 5420 AN</t>
  </si>
  <si>
    <t>Tracer 6420 AN</t>
  </si>
  <si>
    <t>Tracer 8420 AN</t>
  </si>
  <si>
    <t>Tracer 10420 AN</t>
  </si>
  <si>
    <t>Tracer 6210 AN</t>
  </si>
  <si>
    <t>Tracer 5210 AN</t>
  </si>
  <si>
    <t>LEAPTON</t>
  </si>
  <si>
    <t>2384*1303*35</t>
  </si>
  <si>
    <t>Dimension</t>
  </si>
  <si>
    <t>1665*1002*35</t>
  </si>
  <si>
    <t>LP210-M-66-MH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</si>
</sst>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164" formatCode="General\ &quot;°C&quot;"/>
    <numFmt numFmtId="165" formatCode="General\ &quot;V&quot;"/>
    <numFmt numFmtId="166" formatCode="0.0\ &quot;V&quot;"/>
    <numFmt numFmtId="167" formatCode="0.000\ &quot;%/°C&quot;"/>
    <numFmt numFmtId="168" formatCode="0.0"/>
    <numFmt numFmtId="169" formatCode="0.0\ &quot;A&quot;"/>
    <numFmt numFmtId="170" formatCode="0.000\ &quot;V/°C&quot;"/>
    <numFmt numFmtId="171" formatCode="0.00\ &quot;A&quot;"/>
    <numFmt numFmtId="172" formatCode="0.000\ &quot;A/°C&quot;"/>
    <numFmt numFmtId="173" formatCode="General\ &quot;A&quot;"/>
    <numFmt numFmtId="174" formatCode="&quot;(Col&quot;\ General\ &quot;)&quot;"/>
    <numFmt numFmtId="175" formatCode="&quot;+&quot;\ General\ &quot;V&quot;"/>
    <numFmt numFmtId="176" formatCode="0.0000\ &quot;Ohm/mm²/m&quot;"/>
    <numFmt numFmtId="177" formatCode="0.000"/>
    <numFmt numFmtId="178" formatCode="0.0\ &quot;mm²&quot;"/>
    <numFmt numFmtId="179" formatCode="General\ &quot;m&quot;"/>
    <numFmt numFmtId="180" formatCode="0\ &quot;W&quot;"/>
  </numFmts>
  <fonts count="17" x14ac:knownFonts="1">
    <font>
      <sz val="11"/>
      <color theme="1"/>
      <name val="Calibri"/>
      <family val="2"/>
      <scheme val="minor"/>
    </font>
    <font>
      <sz val="11"/>
      <color theme="0"/>
      <name val="Calibri"/>
      <family val="2"/>
      <scheme val="minor"/>
    </font>
    <font>
      <b/>
      <sz val="11"/>
      <color theme="1"/>
      <name val="Calibri"/>
      <family val="2"/>
      <scheme val="minor"/>
    </font>
    <font>
      <sz val="11"/>
      <color rgb="FFFF0000"/>
      <name val="Calibri"/>
      <family val="2"/>
      <scheme val="minor"/>
    </font>
    <font>
      <sz val="9"/>
      <color theme="1"/>
      <name val="Calibri"/>
      <family val="2"/>
      <scheme val="minor"/>
    </font>
    <font>
      <sz val="11"/>
      <color theme="3" tint="0.59999389629810485"/>
      <name val="Calibri"/>
      <family val="2"/>
      <scheme val="minor"/>
    </font>
    <font>
      <u/>
      <sz val="11"/>
      <color theme="10"/>
      <name val="Calibri"/>
      <family val="2"/>
      <scheme val="minor"/>
    </font>
    <font>
      <b/>
      <sz val="11"/>
      <name val="Calibri"/>
      <family val="2"/>
      <scheme val="minor"/>
    </font>
    <font>
      <b/>
      <sz val="12"/>
      <name val="Calibri"/>
      <family val="2"/>
      <scheme val="minor"/>
    </font>
    <font>
      <sz val="11"/>
      <color rgb="FF000000"/>
      <name val="Calibri"/>
      <family val="2"/>
      <scheme val="minor"/>
    </font>
    <font>
      <sz val="11"/>
      <color theme="1" tint="0.499984740745262"/>
      <name val="Calibri"/>
      <family val="2"/>
      <scheme val="minor"/>
    </font>
    <font>
      <b/>
      <sz val="9"/>
      <color theme="1"/>
      <name val="Calibri"/>
      <family val="2"/>
      <scheme val="minor"/>
    </font>
    <font>
      <i/>
      <sz val="11"/>
      <color theme="1"/>
      <name val="Calibri"/>
      <family val="2"/>
      <scheme val="minor"/>
    </font>
    <font>
      <sz val="9"/>
      <color theme="0"/>
      <name val="Calibri"/>
      <family val="2"/>
      <scheme val="minor"/>
    </font>
    <font>
      <b/>
      <sz val="11"/>
      <color theme="0"/>
      <name val="Calibri"/>
      <family val="2"/>
      <scheme val="minor"/>
    </font>
    <font>
      <sz val="11"/>
      <color theme="0" tint="-0.249977111117893"/>
      <name val="Calibri"/>
      <family val="2"/>
      <scheme val="minor"/>
    </font>
    <font>
      <sz val="11"/>
      <color theme="1"/>
      <name val="Calibri"/>
      <family val="2"/>
      <charset val="238"/>
    </font>
  </fonts>
  <fills count="16">
    <fill>
      <patternFill patternType="none"/>
    </fill>
    <fill>
      <patternFill patternType="gray125"/>
    </fill>
    <fill>
      <patternFill patternType="solid">
        <fgColor theme="3" tint="0.59999389629810485"/>
        <bgColor indexed="64"/>
      </patternFill>
    </fill>
    <fill>
      <patternFill patternType="solid">
        <fgColor theme="1"/>
        <bgColor indexed="64"/>
      </patternFill>
    </fill>
    <fill>
      <patternFill patternType="solid">
        <fgColor theme="0" tint="-4.9989318521683403E-2"/>
        <bgColor indexed="64"/>
      </patternFill>
    </fill>
    <fill>
      <patternFill patternType="solid">
        <fgColor theme="0"/>
        <bgColor indexed="64"/>
      </patternFill>
    </fill>
    <fill>
      <patternFill patternType="solid">
        <fgColor theme="0" tint="-0.14999847407452621"/>
        <bgColor indexed="64"/>
      </patternFill>
    </fill>
    <fill>
      <patternFill patternType="solid">
        <fgColor rgb="FFF2F2F2"/>
        <bgColor indexed="64"/>
      </patternFill>
    </fill>
    <fill>
      <patternFill patternType="solid">
        <fgColor rgb="FFD9D9D9"/>
        <bgColor indexed="64"/>
      </patternFill>
    </fill>
    <fill>
      <patternFill patternType="solid">
        <fgColor rgb="FF92D050"/>
        <bgColor indexed="64"/>
      </patternFill>
    </fill>
    <fill>
      <patternFill patternType="solid">
        <fgColor rgb="FFFFFF00"/>
        <bgColor indexed="64"/>
      </patternFill>
    </fill>
    <fill>
      <patternFill patternType="solid">
        <fgColor theme="8" tint="0.79998168889431442"/>
        <bgColor indexed="64"/>
      </patternFill>
    </fill>
    <fill>
      <patternFill patternType="solid">
        <fgColor theme="4" tint="0.79998168889431442"/>
        <bgColor indexed="64"/>
      </patternFill>
    </fill>
    <fill>
      <patternFill patternType="solid">
        <fgColor theme="9" tint="0.59999389629810485"/>
        <bgColor indexed="64"/>
      </patternFill>
    </fill>
    <fill>
      <patternFill patternType="solid">
        <fgColor theme="0"/>
        <bgColor theme="0"/>
      </patternFill>
    </fill>
    <fill>
      <patternFill patternType="solid">
        <fgColor rgb="FFF2F2F2"/>
        <bgColor rgb="FFF2F2F2"/>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0" fontId="6" fillId="0" borderId="0" applyNumberFormat="0" applyFill="0" applyBorder="0" applyAlignment="0" applyProtection="0"/>
  </cellStyleXfs>
  <cellXfs count="176">
    <xf numFmtId="0" fontId="0" fillId="0" borderId="0" xfId="0"/>
    <xf numFmtId="0" fontId="0" fillId="2" borderId="0" xfId="0" applyFill="1"/>
    <xf numFmtId="0" fontId="0" fillId="3" borderId="0" xfId="0" applyFill="1"/>
    <xf numFmtId="0" fontId="0" fillId="4" borderId="0" xfId="0" applyFill="1"/>
    <xf numFmtId="166" fontId="0" fillId="4" borderId="0" xfId="0" applyNumberFormat="1" applyFill="1"/>
    <xf numFmtId="0" fontId="0" fillId="5" borderId="1" xfId="0" applyFill="1" applyBorder="1" applyAlignment="1" applyProtection="1">
      <alignment horizontal="center"/>
      <protection locked="0"/>
    </xf>
    <xf numFmtId="0" fontId="0" fillId="2" borderId="0" xfId="0" applyFill="1" applyBorder="1" applyProtection="1">
      <protection locked="0"/>
    </xf>
    <xf numFmtId="0" fontId="0" fillId="5" borderId="2" xfId="0" applyFill="1" applyBorder="1" applyProtection="1"/>
    <xf numFmtId="0" fontId="0" fillId="5" borderId="3" xfId="0" applyFill="1" applyBorder="1" applyProtection="1"/>
    <xf numFmtId="0" fontId="0" fillId="0" borderId="0" xfId="0" applyProtection="1"/>
    <xf numFmtId="0" fontId="0" fillId="5" borderId="5" xfId="0" applyFill="1" applyBorder="1" applyProtection="1"/>
    <xf numFmtId="0" fontId="0" fillId="5" borderId="0" xfId="0" applyFill="1" applyBorder="1" applyProtection="1"/>
    <xf numFmtId="0" fontId="0" fillId="5" borderId="6" xfId="0" applyFill="1" applyBorder="1" applyProtection="1"/>
    <xf numFmtId="0" fontId="0" fillId="2" borderId="5" xfId="0" applyFill="1" applyBorder="1" applyProtection="1"/>
    <xf numFmtId="0" fontId="0" fillId="2" borderId="0" xfId="0" applyFill="1" applyBorder="1" applyProtection="1"/>
    <xf numFmtId="0" fontId="0" fillId="2" borderId="6" xfId="0" applyFill="1" applyBorder="1" applyProtection="1"/>
    <xf numFmtId="0" fontId="0" fillId="2" borderId="0" xfId="0" applyFill="1" applyBorder="1" applyAlignment="1" applyProtection="1">
      <alignment horizontal="right"/>
    </xf>
    <xf numFmtId="0" fontId="0" fillId="2" borderId="2" xfId="0" applyFill="1" applyBorder="1" applyProtection="1"/>
    <xf numFmtId="0" fontId="0" fillId="2" borderId="3" xfId="0" applyFill="1" applyBorder="1" applyProtection="1"/>
    <xf numFmtId="0" fontId="0" fillId="2" borderId="4" xfId="0" applyFill="1" applyBorder="1" applyProtection="1"/>
    <xf numFmtId="166" fontId="0" fillId="2" borderId="6" xfId="0" applyNumberFormat="1" applyFill="1" applyBorder="1" applyProtection="1"/>
    <xf numFmtId="0" fontId="0" fillId="2" borderId="7" xfId="0" applyFill="1" applyBorder="1" applyProtection="1"/>
    <xf numFmtId="0" fontId="0" fillId="2" borderId="8" xfId="0" applyFill="1" applyBorder="1" applyProtection="1"/>
    <xf numFmtId="0" fontId="0" fillId="2" borderId="9" xfId="0" applyFill="1" applyBorder="1" applyProtection="1"/>
    <xf numFmtId="0" fontId="0" fillId="2" borderId="0" xfId="0" applyFont="1" applyFill="1" applyBorder="1" applyAlignment="1" applyProtection="1">
      <alignment horizontal="center"/>
      <protection locked="0"/>
    </xf>
    <xf numFmtId="0" fontId="2" fillId="5" borderId="10" xfId="0" applyFont="1" applyFill="1" applyBorder="1" applyProtection="1"/>
    <xf numFmtId="0" fontId="2" fillId="5" borderId="10" xfId="0" applyFont="1" applyFill="1" applyBorder="1" applyAlignment="1" applyProtection="1">
      <alignment horizontal="center"/>
    </xf>
    <xf numFmtId="0" fontId="0" fillId="6" borderId="0" xfId="0" applyFill="1"/>
    <xf numFmtId="164" fontId="0" fillId="6" borderId="0" xfId="0" applyNumberFormat="1" applyFill="1"/>
    <xf numFmtId="166" fontId="0" fillId="6" borderId="0" xfId="0" applyNumberFormat="1" applyFill="1"/>
    <xf numFmtId="171" fontId="0" fillId="6" borderId="0" xfId="0" applyNumberFormat="1" applyFill="1"/>
    <xf numFmtId="167" fontId="0" fillId="6" borderId="0" xfId="0" applyNumberFormat="1" applyFill="1"/>
    <xf numFmtId="170" fontId="0" fillId="6" borderId="0" xfId="0" applyNumberFormat="1" applyFill="1"/>
    <xf numFmtId="172" fontId="0" fillId="6" borderId="0" xfId="0" applyNumberFormat="1" applyFill="1"/>
    <xf numFmtId="169" fontId="0" fillId="6" borderId="0" xfId="0" applyNumberFormat="1" applyFill="1"/>
    <xf numFmtId="165" fontId="0" fillId="6" borderId="0" xfId="0" applyNumberFormat="1" applyFill="1"/>
    <xf numFmtId="174" fontId="0" fillId="6" borderId="0" xfId="0" applyNumberFormat="1" applyFill="1" applyAlignment="1">
      <alignment horizontal="left"/>
    </xf>
    <xf numFmtId="0" fontId="0" fillId="4" borderId="0" xfId="0" applyFill="1" applyAlignment="1">
      <alignment horizontal="center"/>
    </xf>
    <xf numFmtId="0" fontId="0" fillId="6" borderId="0" xfId="0" applyFill="1" applyAlignment="1">
      <alignment horizontal="center"/>
    </xf>
    <xf numFmtId="164" fontId="0" fillId="6" borderId="0" xfId="0" applyNumberFormat="1" applyFill="1" applyAlignment="1">
      <alignment horizontal="center"/>
    </xf>
    <xf numFmtId="166" fontId="0" fillId="6" borderId="0" xfId="0" applyNumberFormat="1" applyFill="1" applyAlignment="1">
      <alignment horizontal="center"/>
    </xf>
    <xf numFmtId="168" fontId="0" fillId="6" borderId="0" xfId="0" applyNumberFormat="1" applyFill="1" applyAlignment="1">
      <alignment horizontal="center"/>
    </xf>
    <xf numFmtId="169" fontId="0" fillId="6" borderId="0" xfId="0" applyNumberFormat="1" applyFill="1" applyAlignment="1">
      <alignment horizontal="center"/>
    </xf>
    <xf numFmtId="171" fontId="0" fillId="6" borderId="0" xfId="0" applyNumberFormat="1" applyFill="1" applyAlignment="1">
      <alignment horizontal="center"/>
    </xf>
    <xf numFmtId="165" fontId="0" fillId="6" borderId="0" xfId="0" applyNumberFormat="1" applyFill="1" applyAlignment="1">
      <alignment horizontal="center"/>
    </xf>
    <xf numFmtId="171" fontId="3" fillId="6" borderId="0" xfId="0" applyNumberFormat="1" applyFont="1" applyFill="1"/>
    <xf numFmtId="0" fontId="3" fillId="6" borderId="0" xfId="0" applyFont="1" applyFill="1"/>
    <xf numFmtId="165" fontId="0" fillId="2" borderId="3" xfId="0" applyNumberFormat="1" applyFill="1" applyBorder="1" applyAlignment="1" applyProtection="1">
      <alignment horizontal="center"/>
    </xf>
    <xf numFmtId="166" fontId="0" fillId="2" borderId="0" xfId="0" applyNumberFormat="1" applyFill="1" applyBorder="1" applyAlignment="1" applyProtection="1">
      <alignment horizontal="center"/>
    </xf>
    <xf numFmtId="173" fontId="0" fillId="2" borderId="0" xfId="0" applyNumberFormat="1" applyFill="1" applyBorder="1" applyAlignment="1" applyProtection="1">
      <alignment horizontal="center"/>
    </xf>
    <xf numFmtId="169" fontId="0" fillId="2" borderId="0" xfId="0" applyNumberFormat="1" applyFill="1" applyBorder="1" applyAlignment="1" applyProtection="1">
      <alignment horizontal="center"/>
    </xf>
    <xf numFmtId="0" fontId="0" fillId="5" borderId="0" xfId="0" applyFill="1"/>
    <xf numFmtId="0" fontId="0" fillId="5" borderId="0" xfId="0" applyFont="1" applyFill="1" applyAlignment="1">
      <alignment horizontal="center"/>
    </xf>
    <xf numFmtId="0" fontId="0" fillId="5" borderId="0" xfId="0" applyFill="1" applyAlignment="1">
      <alignment horizontal="center"/>
    </xf>
    <xf numFmtId="0" fontId="0" fillId="5" borderId="10" xfId="0" applyFill="1" applyBorder="1" applyProtection="1"/>
    <xf numFmtId="0" fontId="0" fillId="5" borderId="0" xfId="0" applyFill="1" applyProtection="1"/>
    <xf numFmtId="0" fontId="4" fillId="5" borderId="0" xfId="0" applyFont="1" applyFill="1" applyProtection="1"/>
    <xf numFmtId="0" fontId="2" fillId="5" borderId="0" xfId="0" applyFont="1" applyFill="1" applyProtection="1"/>
    <xf numFmtId="0" fontId="5" fillId="2" borderId="0" xfId="0" applyFont="1" applyFill="1" applyBorder="1" applyProtection="1"/>
    <xf numFmtId="0" fontId="0" fillId="5" borderId="6" xfId="0" applyFill="1" applyBorder="1" applyAlignment="1">
      <alignment horizontal="right"/>
    </xf>
    <xf numFmtId="0" fontId="5" fillId="2" borderId="0" xfId="0" applyFont="1" applyFill="1" applyBorder="1" applyAlignment="1" applyProtection="1">
      <alignment horizontal="center"/>
      <protection locked="0"/>
    </xf>
    <xf numFmtId="164" fontId="0" fillId="6" borderId="1" xfId="0" applyNumberFormat="1" applyFill="1" applyBorder="1" applyAlignment="1">
      <alignment horizontal="center"/>
    </xf>
    <xf numFmtId="164" fontId="0" fillId="5" borderId="1" xfId="0" applyNumberFormat="1" applyFill="1" applyBorder="1" applyAlignment="1" applyProtection="1">
      <alignment horizontal="center"/>
    </xf>
    <xf numFmtId="164" fontId="0" fillId="5" borderId="1" xfId="0" applyNumberFormat="1" applyFill="1" applyBorder="1" applyAlignment="1" applyProtection="1">
      <alignment horizontal="center"/>
      <protection locked="0"/>
    </xf>
    <xf numFmtId="0" fontId="2" fillId="4" borderId="1" xfId="0" applyFont="1" applyFill="1" applyBorder="1" applyAlignment="1">
      <alignment horizontal="center"/>
    </xf>
    <xf numFmtId="164" fontId="1" fillId="4" borderId="0" xfId="0" applyNumberFormat="1" applyFont="1" applyFill="1"/>
    <xf numFmtId="0" fontId="0" fillId="4" borderId="0" xfId="0" quotePrefix="1" applyFill="1"/>
    <xf numFmtId="0" fontId="2" fillId="2" borderId="6" xfId="0" applyFont="1" applyFill="1" applyBorder="1" applyAlignment="1">
      <alignment horizontal="right"/>
    </xf>
    <xf numFmtId="0" fontId="0" fillId="6" borderId="6" xfId="0" quotePrefix="1" applyFill="1" applyBorder="1" applyAlignment="1">
      <alignment horizontal="right"/>
    </xf>
    <xf numFmtId="0" fontId="0" fillId="6" borderId="6" xfId="0" applyFill="1" applyBorder="1" applyAlignment="1">
      <alignment horizontal="right"/>
    </xf>
    <xf numFmtId="168" fontId="0" fillId="6" borderId="6" xfId="0" quotePrefix="1" applyNumberFormat="1" applyFill="1" applyBorder="1" applyAlignment="1">
      <alignment horizontal="right"/>
    </xf>
    <xf numFmtId="0" fontId="2" fillId="2" borderId="1" xfId="0" applyFont="1" applyFill="1" applyBorder="1" applyAlignment="1">
      <alignment horizontal="center"/>
    </xf>
    <xf numFmtId="0" fontId="2" fillId="2" borderId="1" xfId="0" quotePrefix="1" applyFont="1" applyFill="1" applyBorder="1" applyAlignment="1">
      <alignment horizontal="center"/>
    </xf>
    <xf numFmtId="0" fontId="2" fillId="6" borderId="1" xfId="0" applyFont="1" applyFill="1" applyBorder="1" applyAlignment="1">
      <alignment horizontal="center"/>
    </xf>
    <xf numFmtId="0" fontId="0" fillId="4" borderId="1" xfId="0" applyFill="1" applyBorder="1" applyAlignment="1">
      <alignment horizontal="center"/>
    </xf>
    <xf numFmtId="0" fontId="0" fillId="4" borderId="1" xfId="0" quotePrefix="1" applyFill="1" applyBorder="1" applyAlignment="1">
      <alignment horizontal="center"/>
    </xf>
    <xf numFmtId="175" fontId="0" fillId="4" borderId="1" xfId="0" applyNumberFormat="1" applyFill="1" applyBorder="1" applyAlignment="1">
      <alignment horizontal="center"/>
    </xf>
    <xf numFmtId="0" fontId="2" fillId="6" borderId="1" xfId="0" applyFont="1" applyFill="1" applyBorder="1"/>
    <xf numFmtId="0" fontId="2" fillId="4" borderId="11" xfId="0" applyFont="1" applyFill="1" applyBorder="1"/>
    <xf numFmtId="0" fontId="0" fillId="4" borderId="12" xfId="0" applyFill="1" applyBorder="1" applyProtection="1"/>
    <xf numFmtId="0" fontId="0" fillId="6" borderId="11" xfId="0" applyFill="1" applyBorder="1"/>
    <xf numFmtId="0" fontId="0" fillId="6" borderId="12" xfId="0" applyFill="1" applyBorder="1" applyProtection="1"/>
    <xf numFmtId="0" fontId="4" fillId="5" borderId="0" xfId="0" applyFont="1" applyFill="1" applyAlignment="1" applyProtection="1">
      <alignment horizontal="right"/>
    </xf>
    <xf numFmtId="0" fontId="0" fillId="2" borderId="0" xfId="0" applyNumberFormat="1" applyFill="1" applyBorder="1" applyAlignment="1" applyProtection="1">
      <alignment horizontal="right"/>
    </xf>
    <xf numFmtId="0" fontId="7" fillId="5" borderId="3" xfId="1" applyFont="1" applyFill="1" applyBorder="1" applyAlignment="1" applyProtection="1">
      <alignment vertical="center"/>
    </xf>
    <xf numFmtId="0" fontId="7" fillId="5" borderId="0" xfId="1" applyFont="1" applyFill="1" applyBorder="1" applyAlignment="1" applyProtection="1">
      <alignment vertical="center"/>
    </xf>
    <xf numFmtId="0" fontId="0" fillId="4" borderId="1" xfId="0" applyFont="1" applyFill="1" applyBorder="1" applyAlignment="1">
      <alignment horizontal="center"/>
    </xf>
    <xf numFmtId="0" fontId="0" fillId="4" borderId="1" xfId="0" quotePrefix="1" applyFont="1" applyFill="1" applyBorder="1" applyAlignment="1">
      <alignment horizontal="center"/>
    </xf>
    <xf numFmtId="175" fontId="0" fillId="4" borderId="1" xfId="0" applyNumberFormat="1" applyFont="1" applyFill="1" applyBorder="1" applyAlignment="1">
      <alignment horizontal="center"/>
    </xf>
    <xf numFmtId="0" fontId="9" fillId="2" borderId="0" xfId="0" applyFont="1" applyFill="1" applyBorder="1" applyProtection="1"/>
    <xf numFmtId="0" fontId="0" fillId="7" borderId="0" xfId="0" applyFill="1"/>
    <xf numFmtId="166" fontId="0" fillId="7" borderId="0" xfId="0" applyNumberFormat="1" applyFill="1"/>
    <xf numFmtId="0" fontId="0" fillId="7" borderId="0" xfId="0" quotePrefix="1" applyFill="1"/>
    <xf numFmtId="0" fontId="0" fillId="8" borderId="6" xfId="0" quotePrefix="1" applyFill="1" applyBorder="1" applyAlignment="1">
      <alignment horizontal="right"/>
    </xf>
    <xf numFmtId="176" fontId="0" fillId="6" borderId="0" xfId="0" applyNumberFormat="1" applyFill="1"/>
    <xf numFmtId="177" fontId="0" fillId="6" borderId="0" xfId="0" applyNumberFormat="1" applyFill="1"/>
    <xf numFmtId="0" fontId="10" fillId="6" borderId="0" xfId="0" applyFont="1" applyFill="1" applyAlignment="1">
      <alignment horizontal="center"/>
    </xf>
    <xf numFmtId="166" fontId="10" fillId="6" borderId="0" xfId="0" applyNumberFormat="1" applyFont="1" applyFill="1" applyAlignment="1">
      <alignment horizontal="center"/>
    </xf>
    <xf numFmtId="179" fontId="0" fillId="5" borderId="1" xfId="0" applyNumberFormat="1" applyFill="1" applyBorder="1" applyAlignment="1" applyProtection="1">
      <alignment horizontal="center"/>
      <protection locked="0"/>
    </xf>
    <xf numFmtId="0" fontId="5" fillId="2" borderId="6" xfId="0" applyFont="1" applyFill="1" applyBorder="1" applyAlignment="1" applyProtection="1">
      <alignment horizontal="center"/>
      <protection locked="0" hidden="1"/>
    </xf>
    <xf numFmtId="178" fontId="0" fillId="5" borderId="1" xfId="0" applyNumberFormat="1" applyFill="1" applyBorder="1" applyAlignment="1" applyProtection="1">
      <alignment horizontal="center"/>
    </xf>
    <xf numFmtId="0" fontId="5" fillId="2" borderId="6" xfId="0" applyFont="1" applyFill="1" applyBorder="1" applyProtection="1">
      <protection locked="0" hidden="1"/>
    </xf>
    <xf numFmtId="0" fontId="0" fillId="5" borderId="13" xfId="0" applyFill="1" applyBorder="1" applyProtection="1"/>
    <xf numFmtId="0" fontId="0" fillId="5" borderId="11" xfId="0" applyFill="1" applyBorder="1" applyProtection="1"/>
    <xf numFmtId="0" fontId="0" fillId="7" borderId="12" xfId="0" applyFill="1" applyBorder="1" applyProtection="1"/>
    <xf numFmtId="0" fontId="0" fillId="7" borderId="12" xfId="0" applyFill="1" applyBorder="1" applyAlignment="1" applyProtection="1">
      <alignment horizontal="right"/>
    </xf>
    <xf numFmtId="0" fontId="0" fillId="7" borderId="15" xfId="0" applyFill="1" applyBorder="1" applyProtection="1"/>
    <xf numFmtId="0" fontId="11" fillId="5" borderId="0" xfId="0" applyFont="1" applyFill="1"/>
    <xf numFmtId="0" fontId="4" fillId="5" borderId="0" xfId="0" applyFont="1" applyFill="1" applyAlignment="1">
      <alignment horizontal="center"/>
    </xf>
    <xf numFmtId="0" fontId="4" fillId="5" borderId="0" xfId="0" applyFont="1" applyFill="1"/>
    <xf numFmtId="0" fontId="11" fillId="2" borderId="1" xfId="0" applyFont="1" applyFill="1" applyBorder="1"/>
    <xf numFmtId="0" fontId="11" fillId="6" borderId="0" xfId="0" applyFont="1" applyFill="1"/>
    <xf numFmtId="0" fontId="4" fillId="4" borderId="0" xfId="0" applyFont="1" applyFill="1"/>
    <xf numFmtId="0" fontId="4" fillId="7" borderId="0" xfId="0" applyFont="1" applyFill="1"/>
    <xf numFmtId="0" fontId="11" fillId="8" borderId="0" xfId="0" applyFont="1" applyFill="1"/>
    <xf numFmtId="0" fontId="2" fillId="2" borderId="1" xfId="0" applyFont="1" applyFill="1" applyBorder="1" applyAlignment="1">
      <alignment horizontal="center"/>
    </xf>
    <xf numFmtId="0" fontId="2" fillId="2" borderId="1" xfId="0" applyFont="1" applyFill="1" applyBorder="1" applyAlignment="1">
      <alignment horizontal="center"/>
    </xf>
    <xf numFmtId="0" fontId="0" fillId="2" borderId="8" xfId="0" applyFill="1" applyBorder="1" applyAlignment="1">
      <alignment horizontal="center"/>
    </xf>
    <xf numFmtId="177" fontId="0" fillId="9" borderId="1" xfId="0" applyNumberFormat="1" applyFill="1" applyBorder="1" applyAlignment="1">
      <alignment horizontal="center"/>
    </xf>
    <xf numFmtId="0" fontId="2" fillId="2" borderId="11" xfId="0" applyFont="1" applyFill="1" applyBorder="1" applyAlignment="1">
      <alignment horizontal="left"/>
    </xf>
    <xf numFmtId="0" fontId="0" fillId="2" borderId="12" xfId="0" applyFill="1" applyBorder="1" applyAlignment="1">
      <alignment horizontal="center"/>
    </xf>
    <xf numFmtId="0" fontId="0" fillId="2" borderId="15" xfId="0" applyFill="1" applyBorder="1" applyAlignment="1">
      <alignment horizontal="center"/>
    </xf>
    <xf numFmtId="0" fontId="12" fillId="2" borderId="5" xfId="0" applyFont="1" applyFill="1" applyBorder="1" applyAlignment="1">
      <alignment horizontal="left"/>
    </xf>
    <xf numFmtId="0" fontId="0" fillId="2" borderId="0" xfId="0" applyFill="1" applyBorder="1" applyAlignment="1">
      <alignment horizontal="center"/>
    </xf>
    <xf numFmtId="0" fontId="0" fillId="2" borderId="6" xfId="0" applyFill="1" applyBorder="1" applyAlignment="1">
      <alignment horizontal="center"/>
    </xf>
    <xf numFmtId="0" fontId="0" fillId="2" borderId="5" xfId="0" applyFont="1" applyFill="1" applyBorder="1" applyAlignment="1">
      <alignment horizontal="left"/>
    </xf>
    <xf numFmtId="0" fontId="0" fillId="2" borderId="0" xfId="0" applyFill="1" applyBorder="1" applyAlignment="1">
      <alignment horizontal="left"/>
    </xf>
    <xf numFmtId="0" fontId="0" fillId="2" borderId="5" xfId="0" applyFont="1" applyFill="1" applyBorder="1" applyAlignment="1">
      <alignment horizontal="center"/>
    </xf>
    <xf numFmtId="0" fontId="0" fillId="2" borderId="7" xfId="0" applyFont="1" applyFill="1" applyBorder="1" applyAlignment="1">
      <alignment horizontal="center"/>
    </xf>
    <xf numFmtId="0" fontId="0" fillId="2" borderId="9" xfId="0" applyFill="1" applyBorder="1" applyAlignment="1">
      <alignment horizontal="center"/>
    </xf>
    <xf numFmtId="0" fontId="2" fillId="5" borderId="0" xfId="0" applyFont="1" applyFill="1" applyBorder="1" applyAlignment="1">
      <alignment horizontal="center"/>
    </xf>
    <xf numFmtId="0" fontId="13" fillId="5" borderId="0" xfId="0" applyFont="1" applyFill="1" applyBorder="1" applyAlignment="1" applyProtection="1">
      <alignment horizontal="left"/>
      <protection locked="0" hidden="1"/>
    </xf>
    <xf numFmtId="0" fontId="2" fillId="2" borderId="1" xfId="0" applyFont="1" applyFill="1" applyBorder="1" applyAlignment="1">
      <alignment horizontal="center"/>
    </xf>
    <xf numFmtId="0" fontId="2" fillId="2" borderId="16" xfId="0" applyFont="1" applyFill="1" applyBorder="1" applyAlignment="1">
      <alignment horizontal="center"/>
    </xf>
    <xf numFmtId="0" fontId="0" fillId="2" borderId="17" xfId="0" applyFill="1" applyBorder="1" applyAlignment="1">
      <alignment horizontal="center"/>
    </xf>
    <xf numFmtId="0" fontId="14" fillId="5" borderId="10" xfId="0" applyFont="1" applyFill="1" applyBorder="1" applyProtection="1"/>
    <xf numFmtId="0" fontId="14" fillId="5" borderId="14" xfId="0" applyFont="1" applyFill="1" applyBorder="1" applyProtection="1"/>
    <xf numFmtId="0" fontId="0" fillId="2" borderId="0" xfId="0" applyFill="1" applyBorder="1" applyAlignment="1" applyProtection="1">
      <protection locked="0"/>
    </xf>
    <xf numFmtId="0" fontId="15" fillId="5" borderId="0" xfId="0" applyFont="1" applyFill="1" applyProtection="1"/>
    <xf numFmtId="0" fontId="15" fillId="5" borderId="0" xfId="0" applyFont="1" applyFill="1" applyAlignment="1" applyProtection="1">
      <alignment horizontal="center"/>
    </xf>
    <xf numFmtId="0" fontId="0" fillId="11" borderId="0" xfId="0" applyFill="1" applyBorder="1" applyProtection="1"/>
    <xf numFmtId="0" fontId="3" fillId="4" borderId="0" xfId="0" applyFont="1" applyFill="1"/>
    <xf numFmtId="168" fontId="2" fillId="2" borderId="1" xfId="0" applyNumberFormat="1" applyFont="1" applyFill="1" applyBorder="1" applyAlignment="1">
      <alignment horizontal="center"/>
    </xf>
    <xf numFmtId="168" fontId="0" fillId="4" borderId="1" xfId="0" applyNumberFormat="1" applyFill="1" applyBorder="1" applyAlignment="1">
      <alignment horizontal="center"/>
    </xf>
    <xf numFmtId="168" fontId="0" fillId="2" borderId="12" xfId="0" applyNumberFormat="1" applyFill="1" applyBorder="1" applyAlignment="1">
      <alignment horizontal="center"/>
    </xf>
    <xf numFmtId="168" fontId="0" fillId="2" borderId="0" xfId="0" applyNumberFormat="1" applyFill="1" applyBorder="1" applyAlignment="1">
      <alignment horizontal="center"/>
    </xf>
    <xf numFmtId="168" fontId="0" fillId="2" borderId="8" xfId="0" applyNumberFormat="1" applyFill="1" applyBorder="1" applyAlignment="1">
      <alignment horizontal="center"/>
    </xf>
    <xf numFmtId="168" fontId="0" fillId="5" borderId="0" xfId="0" applyNumberFormat="1" applyFill="1" applyAlignment="1">
      <alignment horizontal="center"/>
    </xf>
    <xf numFmtId="168" fontId="0" fillId="2" borderId="0" xfId="0" applyNumberFormat="1" applyFill="1" applyBorder="1" applyProtection="1"/>
    <xf numFmtId="168" fontId="0" fillId="0" borderId="0" xfId="0" applyNumberFormat="1"/>
    <xf numFmtId="0" fontId="0" fillId="0" borderId="0" xfId="0" applyAlignment="1">
      <alignment horizontal="center"/>
    </xf>
    <xf numFmtId="0" fontId="0" fillId="0" borderId="0" xfId="0" applyBorder="1"/>
    <xf numFmtId="0" fontId="0" fillId="0" borderId="0" xfId="0" applyFill="1" applyBorder="1"/>
    <xf numFmtId="0" fontId="0" fillId="12" borderId="8" xfId="0" applyFill="1" applyBorder="1"/>
    <xf numFmtId="0" fontId="0" fillId="0" borderId="0" xfId="0" applyBorder="1" applyAlignment="1">
      <alignment horizontal="center"/>
    </xf>
    <xf numFmtId="0" fontId="0" fillId="12" borderId="8" xfId="0" applyFill="1" applyBorder="1" applyAlignment="1">
      <alignment horizontal="center"/>
    </xf>
    <xf numFmtId="2" fontId="0" fillId="4" borderId="1" xfId="0" applyNumberFormat="1" applyFill="1" applyBorder="1" applyAlignment="1">
      <alignment horizontal="center"/>
    </xf>
    <xf numFmtId="0" fontId="0" fillId="10" borderId="0" xfId="0" applyFill="1" applyAlignment="1">
      <alignment horizontal="center"/>
    </xf>
    <xf numFmtId="0" fontId="0" fillId="13" borderId="0" xfId="0" applyFill="1" applyBorder="1" applyProtection="1"/>
    <xf numFmtId="0" fontId="0" fillId="13" borderId="8" xfId="0" applyFill="1" applyBorder="1" applyProtection="1"/>
    <xf numFmtId="166" fontId="0" fillId="13" borderId="8" xfId="0" applyNumberFormat="1" applyFill="1" applyBorder="1" applyAlignment="1" applyProtection="1">
      <alignment horizontal="center"/>
    </xf>
    <xf numFmtId="169" fontId="0" fillId="13" borderId="0" xfId="0" applyNumberFormat="1" applyFill="1" applyBorder="1" applyAlignment="1" applyProtection="1">
      <alignment horizontal="center"/>
    </xf>
    <xf numFmtId="180" fontId="0" fillId="9" borderId="0" xfId="0" applyNumberFormat="1" applyFill="1" applyAlignment="1" applyProtection="1">
      <alignment horizontal="center"/>
    </xf>
    <xf numFmtId="0" fontId="0" fillId="4" borderId="1" xfId="0" applyFill="1" applyBorder="1" applyAlignment="1" applyProtection="1">
      <alignment horizontal="center"/>
      <protection locked="0"/>
    </xf>
    <xf numFmtId="168" fontId="0" fillId="4" borderId="1" xfId="0" applyNumberFormat="1" applyFill="1" applyBorder="1" applyAlignment="1" applyProtection="1">
      <alignment horizontal="center"/>
      <protection locked="0"/>
    </xf>
    <xf numFmtId="2" fontId="0" fillId="4" borderId="1" xfId="0" applyNumberFormat="1" applyFill="1" applyBorder="1" applyAlignment="1" applyProtection="1">
      <alignment horizontal="center"/>
      <protection locked="0"/>
    </xf>
    <xf numFmtId="0" fontId="0" fillId="5" borderId="4" xfId="0" applyFill="1" applyBorder="1" applyAlignment="1" applyProtection="1">
      <alignment horizontal="right"/>
    </xf>
    <xf numFmtId="0" fontId="16" fillId="15" borderId="18" xfId="0" applyFont="1" applyFill="1" applyBorder="1" applyAlignment="1">
      <alignment horizontal="center"/>
    </xf>
    <xf numFmtId="0" fontId="16" fillId="15" borderId="18" xfId="0" applyFont="1" applyFill="1" applyBorder="1" applyAlignment="1">
      <alignment horizontal="left"/>
    </xf>
    <xf numFmtId="175" fontId="16" fillId="15" borderId="18" xfId="0" applyNumberFormat="1" applyFont="1" applyFill="1" applyBorder="1" applyAlignment="1">
      <alignment horizontal="center"/>
    </xf>
    <xf numFmtId="0" fontId="16" fillId="15" borderId="18" xfId="0" quotePrefix="1" applyFont="1" applyFill="1" applyBorder="1" applyAlignment="1">
      <alignment horizontal="center"/>
    </xf>
    <xf numFmtId="177" fontId="16" fillId="15" borderId="18" xfId="0" applyNumberFormat="1" applyFont="1" applyFill="1" applyBorder="1" applyAlignment="1">
      <alignment horizontal="center"/>
    </xf>
    <xf numFmtId="0" fontId="16" fillId="14" borderId="0" xfId="0" applyFont="1" applyFill="1"/>
    <xf numFmtId="0" fontId="8" fillId="5" borderId="3" xfId="1" applyFont="1" applyFill="1" applyBorder="1" applyAlignment="1" applyProtection="1">
      <alignment horizontal="center" vertical="center"/>
    </xf>
    <xf numFmtId="0" fontId="8" fillId="5" borderId="0" xfId="1" applyFont="1" applyFill="1" applyBorder="1" applyAlignment="1" applyProtection="1">
      <alignment horizontal="center" vertical="center"/>
    </xf>
    <xf numFmtId="0" fontId="2" fillId="2" borderId="1" xfId="0" applyFont="1" applyFill="1" applyBorder="1" applyAlignment="1">
      <alignment horizontal="center"/>
    </xf>
  </cellXfs>
  <cellStyles count="2">
    <cellStyle name="Hyperlink" xfId="1" builtinId="8"/>
    <cellStyle name="Normal" xfId="0" builtinId="0"/>
  </cellStyles>
  <dxfs count="32">
    <dxf>
      <fill>
        <patternFill>
          <bgColor rgb="FF92D050"/>
        </patternFill>
      </fill>
    </dxf>
    <dxf>
      <fill>
        <patternFill>
          <bgColor rgb="FF92D05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C000"/>
        </patternFill>
      </fill>
    </dxf>
    <dxf>
      <fill>
        <patternFill>
          <bgColor rgb="FF92D050"/>
        </patternFill>
      </fill>
    </dxf>
    <dxf>
      <fill>
        <patternFill>
          <bgColor rgb="FFFF0000"/>
        </patternFill>
      </fill>
    </dxf>
  </dxfs>
  <tableStyles count="0" defaultTableStyle="TableStyleMedium9" defaultPivotStyle="PivotStyleLight16"/>
  <colors>
    <mruColors>
      <color rgb="FFD9D9D9"/>
      <color rgb="FFF2F2F2"/>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scatterChart>
        <c:scatterStyle val="lineMarker"/>
        <c:varyColors val="0"/>
        <c:ser>
          <c:idx val="0"/>
          <c:order val="0"/>
          <c:tx>
            <c:strRef>
              <c:f>'Calculation table'!$E$27</c:f>
              <c:strCache>
                <c:ptCount val="1"/>
                <c:pt idx="0">
                  <c:v>String Voc max.</c:v>
                </c:pt>
              </c:strCache>
            </c:strRef>
          </c:tx>
          <c:spPr>
            <a:ln>
              <a:solidFill>
                <a:srgbClr val="0070C0"/>
              </a:solidFill>
            </a:ln>
          </c:spPr>
          <c:marker>
            <c:symbol val="none"/>
          </c:marker>
          <c:xVal>
            <c:numRef>
              <c:f>'Calculation table'!$A$28:$A$31</c:f>
              <c:numCache>
                <c:formatCode>General</c:formatCode>
                <c:ptCount val="4"/>
                <c:pt idx="0" formatCode="General\ &quot;°C&quot;">
                  <c:v>-15</c:v>
                </c:pt>
                <c:pt idx="1">
                  <c:v>-10</c:v>
                </c:pt>
                <c:pt idx="2">
                  <c:v>-5</c:v>
                </c:pt>
                <c:pt idx="3">
                  <c:v>0</c:v>
                </c:pt>
              </c:numCache>
            </c:numRef>
          </c:xVal>
          <c:yVal>
            <c:numRef>
              <c:f>'Calculation table'!$E$28:$E$31</c:f>
              <c:numCache>
                <c:formatCode>0.0\ "V"</c:formatCode>
                <c:ptCount val="4"/>
                <c:pt idx="0">
                  <c:v>81.327200000000005</c:v>
                </c:pt>
                <c:pt idx="1">
                  <c:v>80.336300000000008</c:v>
                </c:pt>
                <c:pt idx="2">
                  <c:v>79.345400000000012</c:v>
                </c:pt>
                <c:pt idx="3">
                  <c:v>78.354500000000002</c:v>
                </c:pt>
              </c:numCache>
            </c:numRef>
          </c:yVal>
          <c:smooth val="0"/>
          <c:extLst>
            <c:ext xmlns:c16="http://schemas.microsoft.com/office/drawing/2014/chart" uri="{C3380CC4-5D6E-409C-BE32-E72D297353CC}">
              <c16:uniqueId val="{00000000-9BF5-42F7-83EA-3A3EACD8D12A}"/>
            </c:ext>
          </c:extLst>
        </c:ser>
        <c:ser>
          <c:idx val="7"/>
          <c:order val="1"/>
          <c:tx>
            <c:strRef>
              <c:f>'Calculation table'!$G$27</c:f>
              <c:strCache>
                <c:ptCount val="1"/>
                <c:pt idx="0">
                  <c:v>String Vmpp corr.max.</c:v>
                </c:pt>
              </c:strCache>
            </c:strRef>
          </c:tx>
          <c:spPr>
            <a:ln>
              <a:solidFill>
                <a:srgbClr val="00B0F0"/>
              </a:solidFill>
            </a:ln>
          </c:spPr>
          <c:marker>
            <c:symbol val="none"/>
          </c:marker>
          <c:xVal>
            <c:numRef>
              <c:f>'Calculation table'!$A$28:$A$31</c:f>
              <c:numCache>
                <c:formatCode>General</c:formatCode>
                <c:ptCount val="4"/>
                <c:pt idx="0" formatCode="General\ &quot;°C&quot;">
                  <c:v>-15</c:v>
                </c:pt>
                <c:pt idx="1">
                  <c:v>-10</c:v>
                </c:pt>
                <c:pt idx="2">
                  <c:v>-5</c:v>
                </c:pt>
                <c:pt idx="3">
                  <c:v>0</c:v>
                </c:pt>
              </c:numCache>
            </c:numRef>
          </c:xVal>
          <c:yVal>
            <c:numRef>
              <c:f>'Calculation table'!$G$28:$G$31</c:f>
              <c:numCache>
                <c:formatCode>0.0</c:formatCode>
                <c:ptCount val="4"/>
                <c:pt idx="0">
                  <c:v>60.081866666666663</c:v>
                </c:pt>
                <c:pt idx="1">
                  <c:v>59.090966666666667</c:v>
                </c:pt>
                <c:pt idx="2">
                  <c:v>58.10006666666667</c:v>
                </c:pt>
                <c:pt idx="3">
                  <c:v>57.109166666666667</c:v>
                </c:pt>
              </c:numCache>
            </c:numRef>
          </c:yVal>
          <c:smooth val="0"/>
          <c:extLst>
            <c:ext xmlns:c16="http://schemas.microsoft.com/office/drawing/2014/chart" uri="{C3380CC4-5D6E-409C-BE32-E72D297353CC}">
              <c16:uniqueId val="{00000001-9BF5-42F7-83EA-3A3EACD8D12A}"/>
            </c:ext>
          </c:extLst>
        </c:ser>
        <c:ser>
          <c:idx val="2"/>
          <c:order val="2"/>
          <c:tx>
            <c:strRef>
              <c:f>'Calculation table'!$H$27</c:f>
              <c:strCache>
                <c:ptCount val="1"/>
                <c:pt idx="0">
                  <c:v>String Voc min.</c:v>
                </c:pt>
              </c:strCache>
            </c:strRef>
          </c:tx>
          <c:spPr>
            <a:ln>
              <a:solidFill>
                <a:srgbClr val="FFC000"/>
              </a:solidFill>
            </a:ln>
          </c:spPr>
          <c:marker>
            <c:symbol val="none"/>
          </c:marker>
          <c:xVal>
            <c:numRef>
              <c:f>'Calculation table'!$A$32:$A$35</c:f>
              <c:numCache>
                <c:formatCode>General</c:formatCode>
                <c:ptCount val="4"/>
                <c:pt idx="0">
                  <c:v>55</c:v>
                </c:pt>
                <c:pt idx="1">
                  <c:v>60</c:v>
                </c:pt>
                <c:pt idx="2">
                  <c:v>65</c:v>
                </c:pt>
                <c:pt idx="3" formatCode="General\ &quot;°C&quot;">
                  <c:v>70</c:v>
                </c:pt>
              </c:numCache>
            </c:numRef>
          </c:xVal>
          <c:yVal>
            <c:numRef>
              <c:f>'Calculation table'!$H$32:$H$35</c:f>
              <c:numCache>
                <c:formatCode>0.0\ "V"</c:formatCode>
                <c:ptCount val="4"/>
                <c:pt idx="0">
                  <c:v>67.454599999999999</c:v>
                </c:pt>
                <c:pt idx="1">
                  <c:v>66.463700000000003</c:v>
                </c:pt>
                <c:pt idx="2">
                  <c:v>65.472800000000007</c:v>
                </c:pt>
                <c:pt idx="3">
                  <c:v>64.481899999999996</c:v>
                </c:pt>
              </c:numCache>
            </c:numRef>
          </c:yVal>
          <c:smooth val="0"/>
          <c:extLst>
            <c:ext xmlns:c16="http://schemas.microsoft.com/office/drawing/2014/chart" uri="{C3380CC4-5D6E-409C-BE32-E72D297353CC}">
              <c16:uniqueId val="{00000002-9BF5-42F7-83EA-3A3EACD8D12A}"/>
            </c:ext>
          </c:extLst>
        </c:ser>
        <c:ser>
          <c:idx val="8"/>
          <c:order val="3"/>
          <c:tx>
            <c:strRef>
              <c:f>'Calculation table'!$J$27</c:f>
              <c:strCache>
                <c:ptCount val="1"/>
                <c:pt idx="0">
                  <c:v>String Vmpp corr. min.</c:v>
                </c:pt>
              </c:strCache>
            </c:strRef>
          </c:tx>
          <c:spPr>
            <a:ln>
              <a:solidFill>
                <a:srgbClr val="FFFF00"/>
              </a:solidFill>
            </a:ln>
          </c:spPr>
          <c:marker>
            <c:symbol val="none"/>
          </c:marker>
          <c:xVal>
            <c:numRef>
              <c:f>'Calculation table'!$A$32:$A$35</c:f>
              <c:numCache>
                <c:formatCode>General</c:formatCode>
                <c:ptCount val="4"/>
                <c:pt idx="0">
                  <c:v>55</c:v>
                </c:pt>
                <c:pt idx="1">
                  <c:v>60</c:v>
                </c:pt>
                <c:pt idx="2">
                  <c:v>65</c:v>
                </c:pt>
                <c:pt idx="3" formatCode="General\ &quot;°C&quot;">
                  <c:v>70</c:v>
                </c:pt>
              </c:numCache>
            </c:numRef>
          </c:xVal>
          <c:yVal>
            <c:numRef>
              <c:f>'Calculation table'!$J$32:$J$35</c:f>
              <c:numCache>
                <c:formatCode>0.0\ "V"</c:formatCode>
                <c:ptCount val="4"/>
                <c:pt idx="0">
                  <c:v>46.209266666666664</c:v>
                </c:pt>
                <c:pt idx="1">
                  <c:v>45.218366666666661</c:v>
                </c:pt>
                <c:pt idx="2">
                  <c:v>44.336623441550003</c:v>
                </c:pt>
                <c:pt idx="3">
                  <c:v>43.456121046344528</c:v>
                </c:pt>
              </c:numCache>
            </c:numRef>
          </c:yVal>
          <c:smooth val="0"/>
          <c:extLst>
            <c:ext xmlns:c16="http://schemas.microsoft.com/office/drawing/2014/chart" uri="{C3380CC4-5D6E-409C-BE32-E72D297353CC}">
              <c16:uniqueId val="{00000003-9BF5-42F7-83EA-3A3EACD8D12A}"/>
            </c:ext>
          </c:extLst>
        </c:ser>
        <c:ser>
          <c:idx val="4"/>
          <c:order val="4"/>
          <c:tx>
            <c:strRef>
              <c:f>'Calculation table'!$B$27</c:f>
              <c:strCache>
                <c:ptCount val="1"/>
                <c:pt idx="0">
                  <c:v>Voc max.</c:v>
                </c:pt>
              </c:strCache>
            </c:strRef>
          </c:tx>
          <c:spPr>
            <a:ln>
              <a:solidFill>
                <a:srgbClr val="FF0000"/>
              </a:solidFill>
            </a:ln>
          </c:spPr>
          <c:marker>
            <c:symbol val="none"/>
          </c:marker>
          <c:xVal>
            <c:numRef>
              <c:f>'Calculation table'!$A$28:$A$35</c:f>
              <c:numCache>
                <c:formatCode>General</c:formatCode>
                <c:ptCount val="8"/>
                <c:pt idx="0" formatCode="General\ &quot;°C&quot;">
                  <c:v>-15</c:v>
                </c:pt>
                <c:pt idx="1">
                  <c:v>-10</c:v>
                </c:pt>
                <c:pt idx="2">
                  <c:v>-5</c:v>
                </c:pt>
                <c:pt idx="3">
                  <c:v>0</c:v>
                </c:pt>
                <c:pt idx="4">
                  <c:v>55</c:v>
                </c:pt>
                <c:pt idx="5">
                  <c:v>60</c:v>
                </c:pt>
                <c:pt idx="6">
                  <c:v>65</c:v>
                </c:pt>
                <c:pt idx="7" formatCode="General\ &quot;°C&quot;">
                  <c:v>70</c:v>
                </c:pt>
              </c:numCache>
            </c:numRef>
          </c:xVal>
          <c:yVal>
            <c:numRef>
              <c:f>'Calculation table'!$B$28:$B$35</c:f>
              <c:numCache>
                <c:formatCode>0.0\ "V"</c:formatCode>
                <c:ptCount val="8"/>
                <c:pt idx="0">
                  <c:v>200</c:v>
                </c:pt>
                <c:pt idx="1">
                  <c:v>200</c:v>
                </c:pt>
                <c:pt idx="2">
                  <c:v>200</c:v>
                </c:pt>
                <c:pt idx="3">
                  <c:v>200</c:v>
                </c:pt>
                <c:pt idx="4">
                  <c:v>200</c:v>
                </c:pt>
                <c:pt idx="5">
                  <c:v>200</c:v>
                </c:pt>
                <c:pt idx="6">
                  <c:v>200</c:v>
                </c:pt>
                <c:pt idx="7">
                  <c:v>200</c:v>
                </c:pt>
              </c:numCache>
            </c:numRef>
          </c:yVal>
          <c:smooth val="0"/>
          <c:extLst>
            <c:ext xmlns:c16="http://schemas.microsoft.com/office/drawing/2014/chart" uri="{C3380CC4-5D6E-409C-BE32-E72D297353CC}">
              <c16:uniqueId val="{00000004-9BF5-42F7-83EA-3A3EACD8D12A}"/>
            </c:ext>
          </c:extLst>
        </c:ser>
        <c:ser>
          <c:idx val="5"/>
          <c:order val="5"/>
          <c:tx>
            <c:strRef>
              <c:f>'Calculation table'!$C$27</c:f>
              <c:strCache>
                <c:ptCount val="1"/>
                <c:pt idx="0">
                  <c:v>Voc START min.</c:v>
                </c:pt>
              </c:strCache>
            </c:strRef>
          </c:tx>
          <c:spPr>
            <a:ln>
              <a:solidFill>
                <a:schemeClr val="tx2">
                  <a:lumMod val="20000"/>
                  <a:lumOff val="80000"/>
                </a:schemeClr>
              </a:solidFill>
              <a:prstDash val="dash"/>
            </a:ln>
          </c:spPr>
          <c:marker>
            <c:symbol val="none"/>
          </c:marker>
          <c:xVal>
            <c:numRef>
              <c:f>'Calculation table'!$A$28:$A$35</c:f>
              <c:numCache>
                <c:formatCode>General</c:formatCode>
                <c:ptCount val="8"/>
                <c:pt idx="0" formatCode="General\ &quot;°C&quot;">
                  <c:v>-15</c:v>
                </c:pt>
                <c:pt idx="1">
                  <c:v>-10</c:v>
                </c:pt>
                <c:pt idx="2">
                  <c:v>-5</c:v>
                </c:pt>
                <c:pt idx="3">
                  <c:v>0</c:v>
                </c:pt>
                <c:pt idx="4">
                  <c:v>55</c:v>
                </c:pt>
                <c:pt idx="5">
                  <c:v>60</c:v>
                </c:pt>
                <c:pt idx="6">
                  <c:v>65</c:v>
                </c:pt>
                <c:pt idx="7" formatCode="General\ &quot;°C&quot;">
                  <c:v>70</c:v>
                </c:pt>
              </c:numCache>
            </c:numRef>
          </c:xVal>
          <c:yVal>
            <c:numRef>
              <c:f>'Calculation table'!$C$28:$C$35</c:f>
              <c:numCache>
                <c:formatCode>0.0\ "V"</c:formatCode>
                <c:ptCount val="8"/>
                <c:pt idx="0">
                  <c:v>29</c:v>
                </c:pt>
                <c:pt idx="1">
                  <c:v>29</c:v>
                </c:pt>
                <c:pt idx="2">
                  <c:v>29</c:v>
                </c:pt>
                <c:pt idx="3">
                  <c:v>29</c:v>
                </c:pt>
                <c:pt idx="4">
                  <c:v>29</c:v>
                </c:pt>
                <c:pt idx="5">
                  <c:v>29</c:v>
                </c:pt>
                <c:pt idx="6">
                  <c:v>29</c:v>
                </c:pt>
                <c:pt idx="7">
                  <c:v>29</c:v>
                </c:pt>
              </c:numCache>
            </c:numRef>
          </c:yVal>
          <c:smooth val="0"/>
          <c:extLst>
            <c:ext xmlns:c16="http://schemas.microsoft.com/office/drawing/2014/chart" uri="{C3380CC4-5D6E-409C-BE32-E72D297353CC}">
              <c16:uniqueId val="{00000005-9BF5-42F7-83EA-3A3EACD8D12A}"/>
            </c:ext>
          </c:extLst>
        </c:ser>
        <c:ser>
          <c:idx val="6"/>
          <c:order val="6"/>
          <c:tx>
            <c:strRef>
              <c:f>'Calculation table'!$D$27</c:f>
              <c:strCache>
                <c:ptCount val="1"/>
                <c:pt idx="0">
                  <c:v>Vmpp RUN min.</c:v>
                </c:pt>
              </c:strCache>
            </c:strRef>
          </c:tx>
          <c:marker>
            <c:symbol val="none"/>
          </c:marker>
          <c:xVal>
            <c:numRef>
              <c:f>'Calculation table'!$A$28:$A$35</c:f>
              <c:numCache>
                <c:formatCode>General</c:formatCode>
                <c:ptCount val="8"/>
                <c:pt idx="0" formatCode="General\ &quot;°C&quot;">
                  <c:v>-15</c:v>
                </c:pt>
                <c:pt idx="1">
                  <c:v>-10</c:v>
                </c:pt>
                <c:pt idx="2">
                  <c:v>-5</c:v>
                </c:pt>
                <c:pt idx="3">
                  <c:v>0</c:v>
                </c:pt>
                <c:pt idx="4">
                  <c:v>55</c:v>
                </c:pt>
                <c:pt idx="5">
                  <c:v>60</c:v>
                </c:pt>
                <c:pt idx="6">
                  <c:v>65</c:v>
                </c:pt>
                <c:pt idx="7" formatCode="General\ &quot;°C&quot;">
                  <c:v>70</c:v>
                </c:pt>
              </c:numCache>
            </c:numRef>
          </c:xVal>
          <c:yVal>
            <c:numRef>
              <c:f>'Calculation table'!$D$28:$D$35</c:f>
              <c:numCache>
                <c:formatCode>0.0\ "V"</c:formatCode>
                <c:ptCount val="8"/>
                <c:pt idx="0">
                  <c:v>30</c:v>
                </c:pt>
                <c:pt idx="1">
                  <c:v>30</c:v>
                </c:pt>
                <c:pt idx="2">
                  <c:v>30</c:v>
                </c:pt>
                <c:pt idx="3">
                  <c:v>30</c:v>
                </c:pt>
                <c:pt idx="4">
                  <c:v>30</c:v>
                </c:pt>
                <c:pt idx="5">
                  <c:v>30</c:v>
                </c:pt>
                <c:pt idx="6">
                  <c:v>30</c:v>
                </c:pt>
                <c:pt idx="7">
                  <c:v>30</c:v>
                </c:pt>
              </c:numCache>
            </c:numRef>
          </c:yVal>
          <c:smooth val="0"/>
          <c:extLst>
            <c:ext xmlns:c16="http://schemas.microsoft.com/office/drawing/2014/chart" uri="{C3380CC4-5D6E-409C-BE32-E72D297353CC}">
              <c16:uniqueId val="{00000006-9BF5-42F7-83EA-3A3EACD8D12A}"/>
            </c:ext>
          </c:extLst>
        </c:ser>
        <c:dLbls>
          <c:showLegendKey val="0"/>
          <c:showVal val="0"/>
          <c:showCatName val="0"/>
          <c:showSerName val="0"/>
          <c:showPercent val="0"/>
          <c:showBubbleSize val="0"/>
        </c:dLbls>
        <c:axId val="150042816"/>
        <c:axId val="150043392"/>
      </c:scatterChart>
      <c:valAx>
        <c:axId val="150042816"/>
        <c:scaling>
          <c:orientation val="minMax"/>
        </c:scaling>
        <c:delete val="0"/>
        <c:axPos val="b"/>
        <c:numFmt formatCode="General\ &quot;°C&quot;" sourceLinked="1"/>
        <c:majorTickMark val="out"/>
        <c:minorTickMark val="none"/>
        <c:tickLblPos val="nextTo"/>
        <c:txPr>
          <a:bodyPr rot="0" vert="horz"/>
          <a:lstStyle/>
          <a:p>
            <a:pPr>
              <a:defRPr sz="1000" b="0" i="0" u="none" strike="noStrike" baseline="0">
                <a:solidFill>
                  <a:srgbClr val="000000"/>
                </a:solidFill>
                <a:latin typeface="Calibri"/>
                <a:ea typeface="Calibri"/>
                <a:cs typeface="Calibri"/>
              </a:defRPr>
            </a:pPr>
            <a:endParaRPr lang="cs-CZ"/>
          </a:p>
        </c:txPr>
        <c:crossAx val="150043392"/>
        <c:crosses val="autoZero"/>
        <c:crossBetween val="midCat"/>
      </c:valAx>
      <c:valAx>
        <c:axId val="150043392"/>
        <c:scaling>
          <c:orientation val="minMax"/>
        </c:scaling>
        <c:delete val="0"/>
        <c:axPos val="l"/>
        <c:majorGridlines/>
        <c:numFmt formatCode="0.0\ &quot;V&quot;" sourceLinked="1"/>
        <c:majorTickMark val="out"/>
        <c:minorTickMark val="none"/>
        <c:tickLblPos val="nextTo"/>
        <c:crossAx val="150042816"/>
        <c:crosses val="autoZero"/>
        <c:crossBetween val="midCat"/>
      </c:valAx>
    </c:plotArea>
    <c:legend>
      <c:legendPos val="b"/>
      <c:layout>
        <c:manualLayout>
          <c:xMode val="edge"/>
          <c:yMode val="edge"/>
          <c:x val="4.395645763403083E-3"/>
          <c:y val="0.81327489133440856"/>
          <c:w val="0.65880155126949136"/>
          <c:h val="0.18672515667637324"/>
        </c:manualLayout>
      </c:layout>
      <c:overlay val="0"/>
      <c:txPr>
        <a:bodyPr/>
        <a:lstStyle/>
        <a:p>
          <a:pPr rtl="0">
            <a:defRPr/>
          </a:pPr>
          <a:endParaRPr lang="cs-CZ"/>
        </a:p>
      </c:txPr>
    </c:legend>
    <c:plotVisOnly val="1"/>
    <c:dispBlanksAs val="gap"/>
    <c:showDLblsOverMax val="0"/>
  </c:chart>
  <c:printSettings>
    <c:headerFooter/>
    <c:pageMargins b="0.75000000000000244" l="0.70000000000000062" r="0.70000000000000062" t="0.75000000000000244"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8421675815955774E-2"/>
          <c:y val="4.6264034755279917E-2"/>
          <c:w val="0.88187830687830693"/>
          <c:h val="0.76470145296697256"/>
        </c:manualLayout>
      </c:layout>
      <c:scatterChart>
        <c:scatterStyle val="lineMarker"/>
        <c:varyColors val="0"/>
        <c:ser>
          <c:idx val="0"/>
          <c:order val="0"/>
          <c:tx>
            <c:strRef>
              <c:f>'Calculation table'!$B$37</c:f>
              <c:strCache>
                <c:ptCount val="1"/>
                <c:pt idx="0">
                  <c:v>Ibat max.</c:v>
                </c:pt>
              </c:strCache>
            </c:strRef>
          </c:tx>
          <c:spPr>
            <a:ln>
              <a:solidFill>
                <a:srgbClr val="FF0000"/>
              </a:solidFill>
            </a:ln>
          </c:spPr>
          <c:marker>
            <c:symbol val="none"/>
          </c:marker>
          <c:xVal>
            <c:numRef>
              <c:f>'Calculation table'!$A$38:$A$45</c:f>
              <c:numCache>
                <c:formatCode>General</c:formatCode>
                <c:ptCount val="8"/>
                <c:pt idx="0" formatCode="General\ &quot;°C&quot;">
                  <c:v>-15</c:v>
                </c:pt>
                <c:pt idx="1">
                  <c:v>-10</c:v>
                </c:pt>
                <c:pt idx="2">
                  <c:v>-5</c:v>
                </c:pt>
                <c:pt idx="3">
                  <c:v>0</c:v>
                </c:pt>
                <c:pt idx="4">
                  <c:v>55</c:v>
                </c:pt>
                <c:pt idx="5">
                  <c:v>60</c:v>
                </c:pt>
                <c:pt idx="6">
                  <c:v>65</c:v>
                </c:pt>
                <c:pt idx="7" formatCode="General\ &quot;°C&quot;">
                  <c:v>70</c:v>
                </c:pt>
              </c:numCache>
            </c:numRef>
          </c:xVal>
          <c:yVal>
            <c:numRef>
              <c:f>'Calculation table'!$B$38:$B$45</c:f>
              <c:numCache>
                <c:formatCode>0.0\ "A"</c:formatCode>
                <c:ptCount val="8"/>
                <c:pt idx="0">
                  <c:v>80</c:v>
                </c:pt>
                <c:pt idx="1">
                  <c:v>80</c:v>
                </c:pt>
                <c:pt idx="2">
                  <c:v>80</c:v>
                </c:pt>
                <c:pt idx="3">
                  <c:v>80</c:v>
                </c:pt>
                <c:pt idx="4">
                  <c:v>80</c:v>
                </c:pt>
                <c:pt idx="5">
                  <c:v>80</c:v>
                </c:pt>
                <c:pt idx="6">
                  <c:v>80</c:v>
                </c:pt>
                <c:pt idx="7">
                  <c:v>80</c:v>
                </c:pt>
              </c:numCache>
            </c:numRef>
          </c:yVal>
          <c:smooth val="0"/>
          <c:extLst>
            <c:ext xmlns:c16="http://schemas.microsoft.com/office/drawing/2014/chart" uri="{C3380CC4-5D6E-409C-BE32-E72D297353CC}">
              <c16:uniqueId val="{00000000-EE57-4F3A-84F2-504E2D14EF59}"/>
            </c:ext>
          </c:extLst>
        </c:ser>
        <c:ser>
          <c:idx val="2"/>
          <c:order val="1"/>
          <c:tx>
            <c:strRef>
              <c:f>'Calculation table'!$E$37</c:f>
              <c:strCache>
                <c:ptCount val="1"/>
                <c:pt idx="0">
                  <c:v>Ibat max. @ Impp</c:v>
                </c:pt>
              </c:strCache>
            </c:strRef>
          </c:tx>
          <c:spPr>
            <a:ln>
              <a:solidFill>
                <a:srgbClr val="0070C0"/>
              </a:solidFill>
            </a:ln>
          </c:spPr>
          <c:marker>
            <c:symbol val="none"/>
          </c:marker>
          <c:xVal>
            <c:numRef>
              <c:f>'Calculation table'!$A$38:$A$41</c:f>
              <c:numCache>
                <c:formatCode>General</c:formatCode>
                <c:ptCount val="4"/>
                <c:pt idx="0" formatCode="General\ &quot;°C&quot;">
                  <c:v>-15</c:v>
                </c:pt>
                <c:pt idx="1">
                  <c:v>-10</c:v>
                </c:pt>
                <c:pt idx="2">
                  <c:v>-5</c:v>
                </c:pt>
                <c:pt idx="3">
                  <c:v>0</c:v>
                </c:pt>
              </c:numCache>
            </c:numRef>
          </c:xVal>
          <c:yVal>
            <c:numRef>
              <c:f>'Calculation table'!$E$38:$E$41</c:f>
              <c:numCache>
                <c:formatCode>0.00\ "A"</c:formatCode>
                <c:ptCount val="4"/>
                <c:pt idx="0">
                  <c:v>80</c:v>
                </c:pt>
                <c:pt idx="1">
                  <c:v>80</c:v>
                </c:pt>
                <c:pt idx="2">
                  <c:v>80</c:v>
                </c:pt>
                <c:pt idx="3">
                  <c:v>80</c:v>
                </c:pt>
              </c:numCache>
            </c:numRef>
          </c:yVal>
          <c:smooth val="0"/>
          <c:extLst>
            <c:ext xmlns:c16="http://schemas.microsoft.com/office/drawing/2014/chart" uri="{C3380CC4-5D6E-409C-BE32-E72D297353CC}">
              <c16:uniqueId val="{00000001-EE57-4F3A-84F2-504E2D14EF59}"/>
            </c:ext>
          </c:extLst>
        </c:ser>
        <c:ser>
          <c:idx val="4"/>
          <c:order val="2"/>
          <c:tx>
            <c:strRef>
              <c:f>'Calculation table'!$F$37</c:f>
              <c:strCache>
                <c:ptCount val="1"/>
                <c:pt idx="0">
                  <c:v>Ibat min. @ Impp</c:v>
                </c:pt>
              </c:strCache>
            </c:strRef>
          </c:tx>
          <c:spPr>
            <a:ln>
              <a:solidFill>
                <a:srgbClr val="FFC000"/>
              </a:solidFill>
            </a:ln>
          </c:spPr>
          <c:marker>
            <c:symbol val="none"/>
          </c:marker>
          <c:xVal>
            <c:numRef>
              <c:f>'Calculation table'!$A$42:$A$45</c:f>
              <c:numCache>
                <c:formatCode>General</c:formatCode>
                <c:ptCount val="4"/>
                <c:pt idx="0">
                  <c:v>55</c:v>
                </c:pt>
                <c:pt idx="1">
                  <c:v>60</c:v>
                </c:pt>
                <c:pt idx="2">
                  <c:v>65</c:v>
                </c:pt>
                <c:pt idx="3" formatCode="General\ &quot;°C&quot;">
                  <c:v>70</c:v>
                </c:pt>
              </c:numCache>
            </c:numRef>
          </c:xVal>
          <c:yVal>
            <c:numRef>
              <c:f>'Calculation table'!$F$42:$F$45</c:f>
              <c:numCache>
                <c:formatCode>0.00\ "A"</c:formatCode>
                <c:ptCount val="4"/>
                <c:pt idx="0">
                  <c:v>80</c:v>
                </c:pt>
                <c:pt idx="1">
                  <c:v>80</c:v>
                </c:pt>
                <c:pt idx="2">
                  <c:v>78.685913624999984</c:v>
                </c:pt>
                <c:pt idx="3">
                  <c:v>77.356889490234366</c:v>
                </c:pt>
              </c:numCache>
            </c:numRef>
          </c:yVal>
          <c:smooth val="0"/>
          <c:extLst>
            <c:ext xmlns:c16="http://schemas.microsoft.com/office/drawing/2014/chart" uri="{C3380CC4-5D6E-409C-BE32-E72D297353CC}">
              <c16:uniqueId val="{00000002-EE57-4F3A-84F2-504E2D14EF59}"/>
            </c:ext>
          </c:extLst>
        </c:ser>
        <c:dLbls>
          <c:showLegendKey val="0"/>
          <c:showVal val="0"/>
          <c:showCatName val="0"/>
          <c:showSerName val="0"/>
          <c:showPercent val="0"/>
          <c:showBubbleSize val="0"/>
        </c:dLbls>
        <c:axId val="184016896"/>
        <c:axId val="184017472"/>
      </c:scatterChart>
      <c:valAx>
        <c:axId val="184016896"/>
        <c:scaling>
          <c:orientation val="minMax"/>
        </c:scaling>
        <c:delete val="0"/>
        <c:axPos val="b"/>
        <c:numFmt formatCode="General\ &quot;°C&quot;" sourceLinked="1"/>
        <c:majorTickMark val="out"/>
        <c:minorTickMark val="none"/>
        <c:tickLblPos val="nextTo"/>
        <c:txPr>
          <a:bodyPr rot="0" vert="horz"/>
          <a:lstStyle/>
          <a:p>
            <a:pPr>
              <a:defRPr sz="1000" b="0" i="0" u="none" strike="noStrike" baseline="0">
                <a:solidFill>
                  <a:srgbClr val="000000"/>
                </a:solidFill>
                <a:latin typeface="Calibri"/>
                <a:ea typeface="Calibri"/>
                <a:cs typeface="Calibri"/>
              </a:defRPr>
            </a:pPr>
            <a:endParaRPr lang="cs-CZ"/>
          </a:p>
        </c:txPr>
        <c:crossAx val="184017472"/>
        <c:crosses val="autoZero"/>
        <c:crossBetween val="midCat"/>
      </c:valAx>
      <c:valAx>
        <c:axId val="184017472"/>
        <c:scaling>
          <c:orientation val="minMax"/>
          <c:min val="0"/>
        </c:scaling>
        <c:delete val="0"/>
        <c:axPos val="l"/>
        <c:majorGridlines/>
        <c:numFmt formatCode="0.0\ &quot;A&quot;" sourceLinked="1"/>
        <c:majorTickMark val="out"/>
        <c:minorTickMark val="none"/>
        <c:tickLblPos val="nextTo"/>
        <c:crossAx val="184016896"/>
        <c:crosses val="autoZero"/>
        <c:crossBetween val="midCat"/>
      </c:valAx>
    </c:plotArea>
    <c:legend>
      <c:legendPos val="b"/>
      <c:layout>
        <c:manualLayout>
          <c:xMode val="edge"/>
          <c:yMode val="edge"/>
          <c:x val="0.12659500895721371"/>
          <c:y val="0.8874334048204201"/>
          <c:w val="0.77855580552431103"/>
          <c:h val="4.5150827319547393E-2"/>
        </c:manualLayout>
      </c:layout>
      <c:overlay val="0"/>
    </c:legend>
    <c:plotVisOnly val="1"/>
    <c:dispBlanksAs val="gap"/>
    <c:showDLblsOverMax val="0"/>
  </c:chart>
  <c:printSettings>
    <c:headerFooter/>
    <c:pageMargins b="0.75000000000000244" l="0.70000000000000062" r="0.70000000000000062" t="0.75000000000000244" header="0.30000000000000032" footer="0.30000000000000032"/>
    <c:pageSetup/>
  </c:printSettings>
</c:chartSpace>
</file>

<file path=xl/ctrlProps/ctrlProp1.xml><?xml version="1.0" encoding="utf-8"?>
<formControlPr xmlns="http://schemas.microsoft.com/office/spreadsheetml/2009/9/main" objectType="Drop" dropLines="13" dropStyle="combo" dx="22" fmlaLink="$D$4" fmlaRange="Modules!$A$3:$A$29" sel="3" val="0"/>
</file>

<file path=xl/ctrlProps/ctrlProp2.xml><?xml version="1.0" encoding="utf-8"?>
<formControlPr xmlns="http://schemas.microsoft.com/office/spreadsheetml/2009/9/main" objectType="Drop" dropStyle="combo" dx="22" fmlaLink="$C$12" fmlaRange="Regulator!$C$2:$C$38" sel="25" val="24"/>
</file>

<file path=xl/ctrlProps/ctrlProp3.xml><?xml version="1.0" encoding="utf-8"?>
<formControlPr xmlns="http://schemas.microsoft.com/office/spreadsheetml/2009/9/main" objectType="Drop" dropLines="4" dropStyle="combo" dx="22" fmlaLink="$E$14" fmlaRange="Form!$J$11:$J$14" sel="2" val="0"/>
</file>

<file path=xl/ctrlProps/ctrlProp4.xml><?xml version="1.0" encoding="utf-8"?>
<formControlPr xmlns="http://schemas.microsoft.com/office/spreadsheetml/2009/9/main" objectType="Spin" dx="16" fmlaLink="$D$6" max="50" min="1" page="10" val="2"/>
</file>

<file path=xl/ctrlProps/ctrlProp5.xml><?xml version="1.0" encoding="utf-8"?>
<formControlPr xmlns="http://schemas.microsoft.com/office/spreadsheetml/2009/9/main" objectType="Spin" dx="16" fmlaLink="$G$6" max="50" min="1" page="10" val="5"/>
</file>

<file path=xl/ctrlProps/ctrlProp6.xml><?xml version="1.0" encoding="utf-8"?>
<formControlPr xmlns="http://schemas.microsoft.com/office/spreadsheetml/2009/9/main" objectType="Spin" dx="22" fmlaLink="$E$9" max="125" page="10" val="10"/>
</file>

<file path=xl/ctrlProps/ctrlProp7.xml><?xml version="1.0" encoding="utf-8"?>
<formControlPr xmlns="http://schemas.microsoft.com/office/spreadsheetml/2009/9/main" objectType="Spin" dx="22" fmlaLink="$G$10" max="100" page="10" val="70"/>
</file>

<file path=xl/ctrlProps/ctrlProp8.xml><?xml version="1.0" encoding="utf-8"?>
<formControlPr xmlns="http://schemas.microsoft.com/office/spreadsheetml/2009/9/main" objectType="Radio" firstButton="1" fmlaLink="$H$3" lockText="1"/>
</file>

<file path=xl/ctrlProps/ctrlProp9.xml><?xml version="1.0" encoding="utf-8"?>
<formControlPr xmlns="http://schemas.microsoft.com/office/spreadsheetml/2009/9/main" objectType="Radio" lockText="1"/>
</file>

<file path=xl/ctrlProps/ctrlProp10.xml><?xml version="1.0" encoding="utf-8"?>
<formControlPr xmlns="http://schemas.microsoft.com/office/spreadsheetml/2009/9/main" objectType="Radio" lockText="1"/>
</file>

<file path=xl/ctrlProps/ctrlProp11.xml><?xml version="1.0" encoding="utf-8"?>
<formControlPr xmlns="http://schemas.microsoft.com/office/spreadsheetml/2009/9/main" objectType="Radio" checked="Checked" lockText="1"/>
</file>

<file path=xl/ctrlProps/ctrlProp12.xml><?xml version="1.0" encoding="utf-8"?>
<formControlPr xmlns="http://schemas.microsoft.com/office/spreadsheetml/2009/9/main" objectType="Radio" lockText="1"/>
</file>

<file path=xl/ctrlProps/ctrlProp13.xml><?xml version="1.0" encoding="utf-8"?>
<formControlPr xmlns="http://schemas.microsoft.com/office/spreadsheetml/2009/9/main" objectType="Spin" dx="22" fmlaLink="$E$16" max="100" min="1" page="10" val="14"/>
</file>

<file path=xl/ctrlProps/ctrlProp14.xml><?xml version="1.0" encoding="utf-8"?>
<formControlPr xmlns="http://schemas.microsoft.com/office/spreadsheetml/2009/9/main" objectType="Spin" dx="22" fmlaLink="$H$16" max="5" min="1" page="10" val="3"/>
</file>

<file path=xl/ctrlProps/ctrlProp15.xml><?xml version="1.0" encoding="utf-8"?>
<formControlPr xmlns="http://schemas.microsoft.com/office/spreadsheetml/2009/9/main" objectType="CheckBox" fmlaLink="$J$31" lockText="1" noThreeD="1"/>
</file>

<file path=xl/drawings/_rels/drawing1.xml.rels><?xml version="1.0" encoding="UTF-8" standalone="yes"?>
<Relationships xmlns="http://schemas.openxmlformats.org/package/2006/relationships"><Relationship Id="rId3" Type="http://schemas.openxmlformats.org/officeDocument/2006/relationships/image" Target="../media/image1.jpeg"/><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image" Target="../media/image4.jpeg"/><Relationship Id="rId5" Type="http://schemas.openxmlformats.org/officeDocument/2006/relationships/image" Target="../media/image3.jpeg"/><Relationship Id="rId4"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absolute">
    <xdr:from>
      <xdr:col>9</xdr:col>
      <xdr:colOff>108323</xdr:colOff>
      <xdr:row>2</xdr:row>
      <xdr:rowOff>17930</xdr:rowOff>
    </xdr:from>
    <xdr:to>
      <xdr:col>17</xdr:col>
      <xdr:colOff>165473</xdr:colOff>
      <xdr:row>27</xdr:row>
      <xdr:rowOff>17930</xdr:rowOff>
    </xdr:to>
    <xdr:graphicFrame macro="">
      <xdr:nvGraphicFramePr>
        <xdr:cNvPr id="1054" name="Chart 9">
          <a:extLst>
            <a:ext uri="{FF2B5EF4-FFF2-40B4-BE49-F238E27FC236}">
              <a16:creationId xmlns:a16="http://schemas.microsoft.com/office/drawing/2014/main" id="{00000000-0008-0000-0000-00001E04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absolute">
    <xdr:from>
      <xdr:col>17</xdr:col>
      <xdr:colOff>381000</xdr:colOff>
      <xdr:row>2</xdr:row>
      <xdr:rowOff>19051</xdr:rowOff>
    </xdr:from>
    <xdr:to>
      <xdr:col>25</xdr:col>
      <xdr:colOff>316752</xdr:colOff>
      <xdr:row>27</xdr:row>
      <xdr:rowOff>35860</xdr:rowOff>
    </xdr:to>
    <xdr:graphicFrame macro="">
      <xdr:nvGraphicFramePr>
        <xdr:cNvPr id="1055" name="Chart 10">
          <a:extLst>
            <a:ext uri="{FF2B5EF4-FFF2-40B4-BE49-F238E27FC236}">
              <a16:creationId xmlns:a16="http://schemas.microsoft.com/office/drawing/2014/main" id="{00000000-0008-0000-0000-00001F04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7</xdr:col>
      <xdr:colOff>628650</xdr:colOff>
      <xdr:row>0</xdr:row>
      <xdr:rowOff>28254</xdr:rowOff>
    </xdr:from>
    <xdr:to>
      <xdr:col>9</xdr:col>
      <xdr:colOff>6349</xdr:colOff>
      <xdr:row>1</xdr:row>
      <xdr:rowOff>9526</xdr:rowOff>
    </xdr:to>
    <xdr:pic>
      <xdr:nvPicPr>
        <xdr:cNvPr id="5" name="Picture 4" descr="ENG.jpg">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3" cstate="print"/>
        <a:stretch>
          <a:fillRect/>
        </a:stretch>
      </xdr:blipFill>
      <xdr:spPr>
        <a:xfrm>
          <a:off x="5400675" y="28254"/>
          <a:ext cx="177799" cy="171772"/>
        </a:xfrm>
        <a:prstGeom prst="rect">
          <a:avLst/>
        </a:prstGeom>
      </xdr:spPr>
    </xdr:pic>
    <xdr:clientData/>
  </xdr:twoCellAnchor>
  <xdr:twoCellAnchor editAs="oneCell">
    <xdr:from>
      <xdr:col>7</xdr:col>
      <xdr:colOff>133095</xdr:colOff>
      <xdr:row>0</xdr:row>
      <xdr:rowOff>29295</xdr:rowOff>
    </xdr:from>
    <xdr:to>
      <xdr:col>7</xdr:col>
      <xdr:colOff>312491</xdr:colOff>
      <xdr:row>1</xdr:row>
      <xdr:rowOff>12110</xdr:rowOff>
    </xdr:to>
    <xdr:pic>
      <xdr:nvPicPr>
        <xdr:cNvPr id="7" name="Picture 6" descr="ES.jpg">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4" cstate="print"/>
        <a:stretch>
          <a:fillRect/>
        </a:stretch>
      </xdr:blipFill>
      <xdr:spPr>
        <a:xfrm>
          <a:off x="4905120" y="29295"/>
          <a:ext cx="179396" cy="173315"/>
        </a:xfrm>
        <a:prstGeom prst="rect">
          <a:avLst/>
        </a:prstGeom>
      </xdr:spPr>
    </xdr:pic>
    <xdr:clientData/>
  </xdr:twoCellAnchor>
  <xdr:twoCellAnchor editAs="oneCell">
    <xdr:from>
      <xdr:col>6</xdr:col>
      <xdr:colOff>523620</xdr:colOff>
      <xdr:row>0</xdr:row>
      <xdr:rowOff>29295</xdr:rowOff>
    </xdr:from>
    <xdr:to>
      <xdr:col>7</xdr:col>
      <xdr:colOff>64841</xdr:colOff>
      <xdr:row>1</xdr:row>
      <xdr:rowOff>12110</xdr:rowOff>
    </xdr:to>
    <xdr:pic>
      <xdr:nvPicPr>
        <xdr:cNvPr id="8" name="Picture 7" descr="DE.jpg">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5" cstate="print"/>
        <a:stretch>
          <a:fillRect/>
        </a:stretch>
      </xdr:blipFill>
      <xdr:spPr>
        <a:xfrm>
          <a:off x="4657470" y="29295"/>
          <a:ext cx="179396" cy="173315"/>
        </a:xfrm>
        <a:prstGeom prst="rect">
          <a:avLst/>
        </a:prstGeom>
      </xdr:spPr>
    </xdr:pic>
    <xdr:clientData/>
  </xdr:twoCellAnchor>
  <xdr:twoCellAnchor editAs="oneCell">
    <xdr:from>
      <xdr:col>6</xdr:col>
      <xdr:colOff>275970</xdr:colOff>
      <xdr:row>0</xdr:row>
      <xdr:rowOff>29295</xdr:rowOff>
    </xdr:from>
    <xdr:to>
      <xdr:col>6</xdr:col>
      <xdr:colOff>455366</xdr:colOff>
      <xdr:row>1</xdr:row>
      <xdr:rowOff>12110</xdr:rowOff>
    </xdr:to>
    <xdr:pic>
      <xdr:nvPicPr>
        <xdr:cNvPr id="9" name="Picture 8" descr="FR.jpg">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6" cstate="print"/>
        <a:stretch>
          <a:fillRect/>
        </a:stretch>
      </xdr:blipFill>
      <xdr:spPr>
        <a:xfrm>
          <a:off x="4409820" y="29295"/>
          <a:ext cx="179396" cy="173315"/>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2</xdr:col>
          <xdr:colOff>0</xdr:colOff>
          <xdr:row>3</xdr:row>
          <xdr:rowOff>0</xdr:rowOff>
        </xdr:from>
        <xdr:to>
          <xdr:col>7</xdr:col>
          <xdr:colOff>419100</xdr:colOff>
          <xdr:row>4</xdr:row>
          <xdr:rowOff>9525</xdr:rowOff>
        </xdr:to>
        <xdr:sp macro="" textlink="">
          <xdr:nvSpPr>
            <xdr:cNvPr id="1028" name="Drop Down 4"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1381125</xdr:colOff>
          <xdr:row>11</xdr:row>
          <xdr:rowOff>19050</xdr:rowOff>
        </xdr:from>
        <xdr:to>
          <xdr:col>7</xdr:col>
          <xdr:colOff>409575</xdr:colOff>
          <xdr:row>12</xdr:row>
          <xdr:rowOff>38100</xdr:rowOff>
        </xdr:to>
        <xdr:sp macro="" textlink="">
          <xdr:nvSpPr>
            <xdr:cNvPr id="1029" name="Drop Down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12</xdr:row>
          <xdr:rowOff>171450</xdr:rowOff>
        </xdr:from>
        <xdr:to>
          <xdr:col>4</xdr:col>
          <xdr:colOff>552450</xdr:colOff>
          <xdr:row>14</xdr:row>
          <xdr:rowOff>9525</xdr:rowOff>
        </xdr:to>
        <xdr:sp macro="" textlink="">
          <xdr:nvSpPr>
            <xdr:cNvPr id="1030" name="Drop Down 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76200</xdr:colOff>
          <xdr:row>4</xdr:row>
          <xdr:rowOff>180975</xdr:rowOff>
        </xdr:from>
        <xdr:to>
          <xdr:col>4</xdr:col>
          <xdr:colOff>371475</xdr:colOff>
          <xdr:row>6</xdr:row>
          <xdr:rowOff>9525</xdr:rowOff>
        </xdr:to>
        <xdr:sp macro="" textlink="">
          <xdr:nvSpPr>
            <xdr:cNvPr id="1032" name="Spinner 8" hidden="1">
              <a:extLst>
                <a:ext uri="{63B3BB69-23CF-44E3-9099-C40C66FF867C}">
                  <a14:compatExt spid="_x0000_s1032"/>
                </a:ext>
                <a:ext uri="{FF2B5EF4-FFF2-40B4-BE49-F238E27FC236}">
                  <a16:creationId xmlns:a16="http://schemas.microsoft.com/office/drawing/2014/main" id="{00000000-0008-0000-0000-00000804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95250</xdr:colOff>
          <xdr:row>4</xdr:row>
          <xdr:rowOff>180975</xdr:rowOff>
        </xdr:from>
        <xdr:to>
          <xdr:col>7</xdr:col>
          <xdr:colOff>390525</xdr:colOff>
          <xdr:row>6</xdr:row>
          <xdr:rowOff>9525</xdr:rowOff>
        </xdr:to>
        <xdr:sp macro="" textlink="">
          <xdr:nvSpPr>
            <xdr:cNvPr id="1033" name="Spinner 9" hidden="1">
              <a:extLst>
                <a:ext uri="{63B3BB69-23CF-44E3-9099-C40C66FF867C}">
                  <a14:compatExt spid="_x0000_s1033"/>
                </a:ext>
                <a:ext uri="{FF2B5EF4-FFF2-40B4-BE49-F238E27FC236}">
                  <a16:creationId xmlns:a16="http://schemas.microsoft.com/office/drawing/2014/main" id="{00000000-0008-0000-0000-00000904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85725</xdr:colOff>
          <xdr:row>8</xdr:row>
          <xdr:rowOff>180975</xdr:rowOff>
        </xdr:from>
        <xdr:to>
          <xdr:col>5</xdr:col>
          <xdr:colOff>381000</xdr:colOff>
          <xdr:row>10</xdr:row>
          <xdr:rowOff>9525</xdr:rowOff>
        </xdr:to>
        <xdr:sp macro="" textlink="">
          <xdr:nvSpPr>
            <xdr:cNvPr id="1035" name="Spinner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85725</xdr:colOff>
          <xdr:row>8</xdr:row>
          <xdr:rowOff>180975</xdr:rowOff>
        </xdr:from>
        <xdr:to>
          <xdr:col>7</xdr:col>
          <xdr:colOff>381000</xdr:colOff>
          <xdr:row>10</xdr:row>
          <xdr:rowOff>9525</xdr:rowOff>
        </xdr:to>
        <xdr:sp macro="" textlink="">
          <xdr:nvSpPr>
            <xdr:cNvPr id="1037" name="Spinner 13" hidden="1">
              <a:extLst>
                <a:ext uri="{63B3BB69-23CF-44E3-9099-C40C66FF867C}">
                  <a14:compatExt spid="_x0000_s1037"/>
                </a:ext>
                <a:ext uri="{FF2B5EF4-FFF2-40B4-BE49-F238E27FC236}">
                  <a16:creationId xmlns:a16="http://schemas.microsoft.com/office/drawing/2014/main" id="{00000000-0008-0000-0000-00000D04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0</xdr:row>
          <xdr:rowOff>171450</xdr:rowOff>
        </xdr:from>
        <xdr:to>
          <xdr:col>6</xdr:col>
          <xdr:colOff>571500</xdr:colOff>
          <xdr:row>2</xdr:row>
          <xdr:rowOff>9525</xdr:rowOff>
        </xdr:to>
        <xdr:sp macro="" textlink="">
          <xdr:nvSpPr>
            <xdr:cNvPr id="1038" name="Option Button 14" hidden="1">
              <a:extLst>
                <a:ext uri="{63B3BB69-23CF-44E3-9099-C40C66FF867C}">
                  <a14:compatExt spid="_x0000_s1038"/>
                </a:ext>
                <a:ext uri="{FF2B5EF4-FFF2-40B4-BE49-F238E27FC236}">
                  <a16:creationId xmlns:a16="http://schemas.microsoft.com/office/drawing/2014/main" id="{00000000-0008-0000-0000-00000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514350</xdr:colOff>
          <xdr:row>0</xdr:row>
          <xdr:rowOff>171450</xdr:rowOff>
        </xdr:from>
        <xdr:to>
          <xdr:col>7</xdr:col>
          <xdr:colOff>180975</xdr:colOff>
          <xdr:row>2</xdr:row>
          <xdr:rowOff>9525</xdr:rowOff>
        </xdr:to>
        <xdr:sp macro="" textlink="">
          <xdr:nvSpPr>
            <xdr:cNvPr id="1039" name="Option Button 15" hidden="1">
              <a:extLst>
                <a:ext uri="{63B3BB69-23CF-44E3-9099-C40C66FF867C}">
                  <a14:compatExt spid="_x0000_s1039"/>
                </a:ext>
                <a:ext uri="{FF2B5EF4-FFF2-40B4-BE49-F238E27FC236}">
                  <a16:creationId xmlns:a16="http://schemas.microsoft.com/office/drawing/2014/main" id="{00000000-0008-0000-0000-00000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123825</xdr:colOff>
          <xdr:row>0</xdr:row>
          <xdr:rowOff>171450</xdr:rowOff>
        </xdr:from>
        <xdr:to>
          <xdr:col>7</xdr:col>
          <xdr:colOff>428625</xdr:colOff>
          <xdr:row>2</xdr:row>
          <xdr:rowOff>9525</xdr:rowOff>
        </xdr:to>
        <xdr:sp macro="" textlink="">
          <xdr:nvSpPr>
            <xdr:cNvPr id="1040" name="Option Button 16" hidden="1">
              <a:extLst>
                <a:ext uri="{63B3BB69-23CF-44E3-9099-C40C66FF867C}">
                  <a14:compatExt spid="_x0000_s1040"/>
                </a:ext>
                <a:ext uri="{FF2B5EF4-FFF2-40B4-BE49-F238E27FC236}">
                  <a16:creationId xmlns:a16="http://schemas.microsoft.com/office/drawing/2014/main" id="{00000000-0008-0000-0000-00001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371475</xdr:colOff>
          <xdr:row>0</xdr:row>
          <xdr:rowOff>171450</xdr:rowOff>
        </xdr:from>
        <xdr:to>
          <xdr:col>7</xdr:col>
          <xdr:colOff>676275</xdr:colOff>
          <xdr:row>2</xdr:row>
          <xdr:rowOff>9525</xdr:rowOff>
        </xdr:to>
        <xdr:sp macro="" textlink="">
          <xdr:nvSpPr>
            <xdr:cNvPr id="1041" name="Option Button 17" hidden="1">
              <a:extLst>
                <a:ext uri="{63B3BB69-23CF-44E3-9099-C40C66FF867C}">
                  <a14:compatExt spid="_x0000_s1041"/>
                </a:ext>
                <a:ext uri="{FF2B5EF4-FFF2-40B4-BE49-F238E27FC236}">
                  <a16:creationId xmlns:a16="http://schemas.microsoft.com/office/drawing/2014/main" id="{00000000-0008-0000-0000-00001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609600</xdr:colOff>
          <xdr:row>0</xdr:row>
          <xdr:rowOff>171450</xdr:rowOff>
        </xdr:from>
        <xdr:to>
          <xdr:col>9</xdr:col>
          <xdr:colOff>114300</xdr:colOff>
          <xdr:row>2</xdr:row>
          <xdr:rowOff>9525</xdr:rowOff>
        </xdr:to>
        <xdr:sp macro="" textlink="">
          <xdr:nvSpPr>
            <xdr:cNvPr id="1042" name="Option Button 18" hidden="1">
              <a:extLst>
                <a:ext uri="{63B3BB69-23CF-44E3-9099-C40C66FF867C}">
                  <a14:compatExt spid="_x0000_s1042"/>
                </a:ext>
                <a:ext uri="{FF2B5EF4-FFF2-40B4-BE49-F238E27FC236}">
                  <a16:creationId xmlns:a16="http://schemas.microsoft.com/office/drawing/2014/main" id="{00000000-0008-0000-0000-00001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76200</xdr:colOff>
          <xdr:row>15</xdr:row>
          <xdr:rowOff>9525</xdr:rowOff>
        </xdr:from>
        <xdr:to>
          <xdr:col>5</xdr:col>
          <xdr:colOff>400050</xdr:colOff>
          <xdr:row>16</xdr:row>
          <xdr:rowOff>9525</xdr:rowOff>
        </xdr:to>
        <xdr:sp macro="" textlink="">
          <xdr:nvSpPr>
            <xdr:cNvPr id="1043" name="Spinner 19" hidden="1">
              <a:extLst>
                <a:ext uri="{63B3BB69-23CF-44E3-9099-C40C66FF867C}">
                  <a14:compatExt spid="_x0000_s1043"/>
                </a:ext>
                <a:ext uri="{FF2B5EF4-FFF2-40B4-BE49-F238E27FC236}">
                  <a16:creationId xmlns:a16="http://schemas.microsoft.com/office/drawing/2014/main" id="{00000000-0008-0000-0000-00001304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85725</xdr:colOff>
          <xdr:row>15</xdr:row>
          <xdr:rowOff>0</xdr:rowOff>
        </xdr:from>
        <xdr:to>
          <xdr:col>7</xdr:col>
          <xdr:colOff>381000</xdr:colOff>
          <xdr:row>16</xdr:row>
          <xdr:rowOff>19050</xdr:rowOff>
        </xdr:to>
        <xdr:sp macro="" textlink="">
          <xdr:nvSpPr>
            <xdr:cNvPr id="1044" name="Spinner 20" hidden="1">
              <a:extLst>
                <a:ext uri="{63B3BB69-23CF-44E3-9099-C40C66FF867C}">
                  <a14:compatExt spid="_x0000_s1044"/>
                </a:ext>
                <a:ext uri="{FF2B5EF4-FFF2-40B4-BE49-F238E27FC236}">
                  <a16:creationId xmlns:a16="http://schemas.microsoft.com/office/drawing/2014/main" id="{00000000-0008-0000-0000-00001404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371475</xdr:colOff>
          <xdr:row>29</xdr:row>
          <xdr:rowOff>171450</xdr:rowOff>
        </xdr:from>
        <xdr:to>
          <xdr:col>7</xdr:col>
          <xdr:colOff>38100</xdr:colOff>
          <xdr:row>31</xdr:row>
          <xdr:rowOff>9525</xdr:rowOff>
        </xdr:to>
        <xdr:sp macro="" textlink="">
          <xdr:nvSpPr>
            <xdr:cNvPr id="1046" name="Check Box 22" hidden="1">
              <a:extLst>
                <a:ext uri="{63B3BB69-23CF-44E3-9099-C40C66FF867C}">
                  <a14:compatExt spid="_x0000_s1046"/>
                </a:ext>
                <a:ext uri="{FF2B5EF4-FFF2-40B4-BE49-F238E27FC236}">
                  <a16:creationId xmlns:a16="http://schemas.microsoft.com/office/drawing/2014/main" id="{00000000-0008-0000-0000-00001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1.xml"/><Relationship Id="rId16" Type="http://schemas.openxmlformats.org/officeDocument/2006/relationships/ctrlProp" Target="../ctrlProps/ctrlProp13.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BC229"/>
  <sheetViews>
    <sheetView tabSelected="1" zoomScaleNormal="100" workbookViewId="0">
      <selection activeCell="B1" sqref="B1"/>
    </sheetView>
  </sheetViews>
  <sheetFormatPr defaultColWidth="9.140625" defaultRowHeight="15" x14ac:dyDescent="0.25"/>
  <cols>
    <col min="1" max="1" width="1.7109375" style="9" customWidth="1"/>
    <col min="2" max="2" width="20.85546875" style="9" customWidth="1"/>
    <col min="3" max="3" width="6.28515625" style="9" customWidth="1"/>
    <col min="4" max="5" width="9.5703125" style="9" customWidth="1"/>
    <col min="6" max="6" width="19.7109375" style="9" customWidth="1"/>
    <col min="7" max="7" width="9.5703125" style="9" customWidth="1"/>
    <col min="8" max="8" width="10.7109375" style="9" customWidth="1"/>
    <col min="9" max="9" width="1.28515625" style="55" customWidth="1"/>
    <col min="10" max="10" width="6.85546875" style="55" customWidth="1"/>
    <col min="11" max="16" width="9.140625" style="55"/>
    <col min="17" max="17" width="9.140625" style="55" customWidth="1"/>
    <col min="18" max="55" width="9.140625" style="55"/>
    <col min="56" max="16384" width="9.140625" style="9"/>
  </cols>
  <sheetData>
    <row r="1" spans="1:18" x14ac:dyDescent="0.25">
      <c r="A1" s="7"/>
      <c r="B1" s="84"/>
      <c r="C1" s="84"/>
      <c r="D1" s="173"/>
      <c r="E1" s="173"/>
      <c r="F1" s="173"/>
      <c r="G1" s="8"/>
      <c r="H1" s="166" t="s">
        <v>369</v>
      </c>
      <c r="J1" s="57" t="str">
        <f>IF(H3=5,INDEX(Language!B4:F35,29,1),IF(H3=4,INDEX(Language!B4:F35,29,2),IF(H3=3,INDEX(Language!B4:F35,29,3),IF(H3=2,INDEX(Language!B4:F35,29,4),INDEX(Language!B4:F35,29,5)))))</f>
        <v>Napětové okno</v>
      </c>
      <c r="R1" s="57" t="str">
        <f>IF(H3=5,INDEX(Language!B4:F35,30,1),IF(H3=4,INDEX(Language!B4:F35,30,2),IF(H3=3,INDEX(Language!B4:F35,30,3),IF(H3=2,INDEX(Language!B4:F35,30,4),INDEX(Language!B4:F35,30,5)))))</f>
        <v>Proudové okno</v>
      </c>
    </row>
    <row r="2" spans="1:18" x14ac:dyDescent="0.25">
      <c r="A2" s="10"/>
      <c r="B2" s="85"/>
      <c r="C2" s="85"/>
      <c r="D2" s="174"/>
      <c r="E2" s="174"/>
      <c r="F2" s="174"/>
      <c r="G2" s="11"/>
      <c r="H2" s="12"/>
    </row>
    <row r="3" spans="1:18" x14ac:dyDescent="0.25">
      <c r="A3" s="13"/>
      <c r="B3" s="14"/>
      <c r="C3" s="14"/>
      <c r="D3" s="14"/>
      <c r="E3" s="14"/>
      <c r="F3" s="14"/>
      <c r="G3" s="14"/>
      <c r="H3" s="101">
        <v>4</v>
      </c>
    </row>
    <row r="4" spans="1:18" ht="15.75" customHeight="1" x14ac:dyDescent="0.25">
      <c r="A4" s="13"/>
      <c r="B4" s="14" t="str">
        <f>IF(H3=5,INDEX(Language!B4:F35,1,1),IF(H3=4,INDEX(Language!B4:F35,1,2),IF(H3=3,INDEX(Language!B4:F35,1,3),IF(H3=2,INDEX(Language!B4:F35,1,4),INDEX(Language!B4:F35,1,5)))))</f>
        <v>Panel</v>
      </c>
      <c r="C4" s="14"/>
      <c r="D4" s="6">
        <v>3</v>
      </c>
      <c r="E4" s="14"/>
      <c r="F4" s="14"/>
      <c r="G4" s="14"/>
      <c r="H4" s="15"/>
    </row>
    <row r="5" spans="1:18" ht="15" customHeight="1" x14ac:dyDescent="0.25">
      <c r="A5" s="13"/>
      <c r="B5" s="14"/>
      <c r="C5" s="14"/>
      <c r="D5" s="14"/>
      <c r="E5" s="14"/>
      <c r="F5" s="14"/>
      <c r="G5" s="14"/>
      <c r="H5" s="15"/>
    </row>
    <row r="6" spans="1:18" x14ac:dyDescent="0.25">
      <c r="A6" s="13"/>
      <c r="B6" s="14" t="str">
        <f>IF(H3=5,INDEX(Language!B4:F35,2,1),IF(H3=4,INDEX(Language!B4:F35,2,2),IF(H3=3,INDEX(Language!B4:F35,2,3),IF(H3=2,INDEX(Language!B4:F35,2,4),INDEX(Language!B4:F35,2,5)))))</f>
        <v>V serii</v>
      </c>
      <c r="C6" s="14"/>
      <c r="D6" s="5">
        <v>2</v>
      </c>
      <c r="E6" s="14"/>
      <c r="F6" s="16" t="str">
        <f>IF(H3=5,INDEX(Language!B4:F35,3,1),IF(H3=4,INDEX(Language!B4:F35,3,2),IF(H3=3,INDEX(Language!B4:F35,3,3),IF(H3=2,INDEX(Language!B4:F35,3,4),INDEX(Language!B4:F35,3,5)))))</f>
        <v>Paralelně</v>
      </c>
      <c r="G6" s="5">
        <v>5</v>
      </c>
      <c r="H6" s="15"/>
    </row>
    <row r="7" spans="1:18" ht="15" customHeight="1" x14ac:dyDescent="0.25">
      <c r="A7" s="13"/>
      <c r="B7" s="14"/>
      <c r="C7" s="14"/>
      <c r="D7" s="14"/>
      <c r="E7" s="14"/>
      <c r="F7" s="14"/>
      <c r="G7" s="14"/>
      <c r="H7" s="15">
        <v>24</v>
      </c>
    </row>
    <row r="8" spans="1:18" x14ac:dyDescent="0.25">
      <c r="A8" s="13"/>
      <c r="B8" s="14" t="str">
        <f>IF(H3=5,INDEX(Language!B4:F35,4,1),IF(H3=4,INDEX(Language!B4:F35,4,2),IF(H3=3,INDEX(Language!B4:F35,4,3),IF(H3=2,INDEX(Language!B4:F35,4,4),INDEX(Language!B4:F35,4,5)))))</f>
        <v>Celkový výkon PV</v>
      </c>
      <c r="C8" s="14"/>
      <c r="D8" s="83">
        <f>D6*G6*INDEX(Modules!B3:J29,Form!D4,3)</f>
        <v>2250</v>
      </c>
      <c r="E8" s="14" t="str">
        <f>IF(H3=5,INDEX(Language!B4:F35,5,1),IF(H3=4,INDEX(Language!B4:F35,5,2),IF(H3=3,INDEX(Language!B4:F35,5,3),IF(H3=2,INDEX(Language!B4:F35,5,4),INDEX(Language!B4:F35,5,5)))))</f>
        <v>Wp</v>
      </c>
      <c r="F8" s="14"/>
      <c r="G8" s="14"/>
      <c r="H8" s="15"/>
      <c r="J8" s="138"/>
      <c r="K8" s="138"/>
      <c r="L8" s="138"/>
      <c r="M8" s="138"/>
    </row>
    <row r="9" spans="1:18" ht="15" customHeight="1" x14ac:dyDescent="0.25">
      <c r="A9" s="13"/>
      <c r="B9" s="14"/>
      <c r="C9" s="14"/>
      <c r="D9" s="14"/>
      <c r="E9" s="60">
        <v>10</v>
      </c>
      <c r="F9" s="14"/>
      <c r="G9" s="58">
        <v>0</v>
      </c>
      <c r="H9" s="15"/>
      <c r="J9" s="138"/>
      <c r="K9" s="138"/>
      <c r="L9" s="138"/>
      <c r="M9" s="138"/>
    </row>
    <row r="10" spans="1:18" x14ac:dyDescent="0.25">
      <c r="A10" s="13"/>
      <c r="B10" s="14" t="str">
        <f>IF(H3=5,INDEX(Language!B4:F35,6,1),IF(H3=4,INDEX(Language!B4:F35,6,2),IF(H3=3,INDEX(Language!B4:F35,6,3),IF(H3=2,INDEX(Language!B4:F35,6,4),INDEX(Language!B4:F35,6,5)))))</f>
        <v>Teplota panelu</v>
      </c>
      <c r="C10" s="14"/>
      <c r="D10" s="16" t="str">
        <f>IF(H3=5,INDEX(Language!B4:F35,7,1),IF(H3=4,INDEX(Language!B4:F35,7,2),IF(H3=3,INDEX(Language!B4:F35,7,3),IF(H3=2,INDEX(Language!B4:F35,7,4),INDEX(Language!B4:F35,7,5)))))</f>
        <v>Min.</v>
      </c>
      <c r="E10" s="62">
        <f>E9-25</f>
        <v>-15</v>
      </c>
      <c r="F10" s="16" t="str">
        <f>IF(H3=5,INDEX(Language!B4:F35,8,1),IF(H3=4,INDEX(Language!B4:F35,8,2),IF(H3=3,INDEX(Language!B4:F35,8,3),IF(H3=2,INDEX(Language!B4:F35,8,4),INDEX(Language!B4:F35,8,5)))))</f>
        <v>Max.</v>
      </c>
      <c r="G10" s="63">
        <v>70</v>
      </c>
      <c r="H10" s="15"/>
      <c r="J10" s="138"/>
      <c r="K10" s="138">
        <v>2.5</v>
      </c>
      <c r="L10" s="138"/>
      <c r="M10" s="138"/>
    </row>
    <row r="11" spans="1:18" x14ac:dyDescent="0.25">
      <c r="A11" s="13"/>
      <c r="B11" s="14"/>
      <c r="C11" s="14"/>
      <c r="D11" s="14"/>
      <c r="E11" s="14"/>
      <c r="F11" s="14"/>
      <c r="G11" s="14"/>
      <c r="H11" s="15"/>
      <c r="J11" s="139">
        <f>INDEX(Regulator!K2:N38,Form!$C$12,1)</f>
        <v>12</v>
      </c>
      <c r="K11" s="138">
        <v>4</v>
      </c>
      <c r="L11" s="138"/>
      <c r="M11" s="138"/>
    </row>
    <row r="12" spans="1:18" x14ac:dyDescent="0.25">
      <c r="A12" s="13"/>
      <c r="B12" s="14" t="str">
        <f>IF(H3=5,INDEX(Language!B4:F35,9,1),IF(H3=4,INDEX(Language!B4:F35,9,2),IF(H3=3,INDEX(Language!B4:F35,9,3),IF(H3=2,INDEX(Language!B4:F35,9,4),INDEX(Language!B4:F35,9,5)))))</f>
        <v>Regulátor</v>
      </c>
      <c r="C12" s="137">
        <v>25</v>
      </c>
      <c r="D12" s="137"/>
      <c r="E12" s="137"/>
      <c r="F12" s="137"/>
      <c r="G12" s="137"/>
      <c r="H12" s="15"/>
      <c r="J12" s="139">
        <f>INDEX(Regulator!K2:N38,Form!$C$12,2)</f>
        <v>24</v>
      </c>
      <c r="K12" s="138">
        <v>6</v>
      </c>
      <c r="L12" s="138"/>
      <c r="M12" s="138"/>
    </row>
    <row r="13" spans="1:18" x14ac:dyDescent="0.25">
      <c r="A13" s="13"/>
      <c r="B13" s="14"/>
      <c r="C13" s="14"/>
      <c r="D13" s="14"/>
      <c r="E13" s="14"/>
      <c r="F13" s="14"/>
      <c r="G13" s="14"/>
      <c r="H13" s="15"/>
      <c r="J13" s="139">
        <f>INDEX(Regulator!K2:N38,Form!$C$12,3)</f>
        <v>36</v>
      </c>
      <c r="K13" s="138">
        <v>10</v>
      </c>
      <c r="L13" s="138"/>
      <c r="M13" s="138"/>
    </row>
    <row r="14" spans="1:18" x14ac:dyDescent="0.25">
      <c r="A14" s="13"/>
      <c r="B14" s="14" t="str">
        <f>IF(H3=5,INDEX(Language!B4:F35,10,1),IF(H3=4,INDEX(Language!B4:F35,10,2),IF(H3=3,INDEX(Language!B4:F35,10,3),IF(H3=2,INDEX(Language!B4:F35,10,4),INDEX(Language!B4:F35,10,5)))))</f>
        <v>Systémové napětí</v>
      </c>
      <c r="C14" s="14"/>
      <c r="D14" s="14"/>
      <c r="E14" s="24">
        <v>2</v>
      </c>
      <c r="F14" s="14" t="s">
        <v>20</v>
      </c>
      <c r="G14" s="14"/>
      <c r="H14" s="15"/>
      <c r="J14" s="139">
        <f>INDEX(Regulator!K2:N38,Form!$C$12,4)</f>
        <v>48</v>
      </c>
      <c r="K14" s="138">
        <v>25</v>
      </c>
      <c r="L14" s="138"/>
      <c r="M14" s="138"/>
    </row>
    <row r="15" spans="1:18" x14ac:dyDescent="0.25">
      <c r="A15" s="13"/>
      <c r="B15" s="14"/>
      <c r="C15" s="14"/>
      <c r="D15" s="14"/>
      <c r="E15" s="24"/>
      <c r="F15" s="14"/>
      <c r="G15" s="14"/>
      <c r="H15" s="15"/>
      <c r="J15" s="139"/>
      <c r="K15" s="138"/>
      <c r="L15" s="138"/>
      <c r="M15" s="138"/>
    </row>
    <row r="16" spans="1:18" x14ac:dyDescent="0.25">
      <c r="A16" s="13"/>
      <c r="B16" s="89" t="str">
        <f>IF(H3=5,INDEX(Language!B4:F35,31,1),IF(H3=4,INDEX(Language!B4:F35,31,2),IF(H3=3,INDEX(Language!B4:F35,31,3),IF(H3=2,INDEX(Language!B4:F35,31,4),INDEX(Language!B4:F35,31,5)))))</f>
        <v>Délka Kabelu do MPPT *</v>
      </c>
      <c r="C16" s="89"/>
      <c r="D16" s="14"/>
      <c r="E16" s="98">
        <v>14</v>
      </c>
      <c r="F16" s="16" t="str">
        <f>IF(H3=5,INDEX(Language!B4:F35,32,1),IF(H3=4,INDEX(Language!B4:F35,32,2),IF(H3=3,INDEX(Language!B4:F35,32,3),IF(H3=2,INDEX(Language!B4:F35,32,4),INDEX(Language!B4:F35,32,5)))))</f>
        <v>Průřez:</v>
      </c>
      <c r="G16" s="100">
        <f>INDEX(K10:K14,H16,1)</f>
        <v>6</v>
      </c>
      <c r="H16" s="99">
        <v>3</v>
      </c>
      <c r="J16" s="139"/>
      <c r="K16" s="138"/>
      <c r="L16" s="138"/>
      <c r="M16" s="138"/>
    </row>
    <row r="17" spans="1:13" x14ac:dyDescent="0.25">
      <c r="A17" s="13"/>
      <c r="B17" s="14" t="str">
        <f>IF(H3=5,INDEX(Language!B4:F36,33,1),IF(H3=4,INDEX(Language!B4:F36,33,2),IF(H3=3,INDEX(Language!B4:F36,33,3),IF(H3=2,INDEX(Language!B4:F36,33,4),INDEX(Language!B4:F36,33,5)))))</f>
        <v>* Délka jedním směrem</v>
      </c>
      <c r="C17" s="14"/>
      <c r="D17" s="14"/>
      <c r="E17" s="14"/>
      <c r="F17" s="14"/>
      <c r="G17" s="14"/>
      <c r="H17" s="15"/>
      <c r="J17" s="138"/>
      <c r="K17" s="138"/>
      <c r="L17" s="138"/>
      <c r="M17" s="138"/>
    </row>
    <row r="18" spans="1:13" x14ac:dyDescent="0.25">
      <c r="A18" s="17"/>
      <c r="B18" s="18" t="str">
        <f>IF(H3=5,INDEX(Language!B4:F35,11,1),IF(H3=4,INDEX(Language!B4:F35,11,2),IF(H3=3,INDEX(Language!B4:F35,11,3),IF(H3=2,INDEX(Language!B4:F35,11,4),INDEX(Language!B4:F35,11,5)))))</f>
        <v>Max vstup napětí</v>
      </c>
      <c r="C18" s="18"/>
      <c r="D18" s="18"/>
      <c r="E18" s="18"/>
      <c r="F18" s="47">
        <f>INDEX(Regulator!$B$2:$H$38,Form!$C$12,7)</f>
        <v>200</v>
      </c>
      <c r="G18" s="18"/>
      <c r="H18" s="19"/>
      <c r="J18" s="138"/>
      <c r="K18" s="138"/>
      <c r="L18" s="138"/>
      <c r="M18" s="138"/>
    </row>
    <row r="19" spans="1:13" x14ac:dyDescent="0.25">
      <c r="A19" s="13"/>
      <c r="B19" s="140" t="str">
        <f>IF(H3=5,INDEX(Language!B4:F35,12,1),IF(H3=4,INDEX(Language!B4:F35,12,2),IF(H3=3,INDEX(Language!B4:F35,12,3),IF(H3=2,INDEX(Language!B4:F35,12,4),INDEX(Language!B4:F35,12,5)))))</f>
        <v>Max napětí PV MIN Teplota</v>
      </c>
      <c r="C19" s="140"/>
      <c r="D19" s="140"/>
      <c r="E19" s="140"/>
      <c r="F19" s="48">
        <f>'Calculation table'!E28</f>
        <v>81.327200000000005</v>
      </c>
      <c r="G19" s="14"/>
      <c r="H19" s="20"/>
      <c r="J19" s="138"/>
      <c r="K19" s="138"/>
      <c r="L19" s="138"/>
      <c r="M19" s="138"/>
    </row>
    <row r="20" spans="1:13" x14ac:dyDescent="0.25">
      <c r="A20" s="13"/>
      <c r="B20" s="14" t="str">
        <f>IF(H3=5,INDEX(Language!B4:F35,13,1),IF(H3=4,INDEX(Language!B4:F35,13,2),IF(H3=3,INDEX(Language!B4:F35,13,3),IF(H3=2,INDEX(Language!B4:F35,13,4),INDEX(Language!B4:F35,13,5)))))</f>
        <v>Min vstup napětí @ MPP</v>
      </c>
      <c r="C20" s="14"/>
      <c r="D20" s="14"/>
      <c r="E20" s="14"/>
      <c r="F20" s="48">
        <f>'Calculation table'!B19</f>
        <v>30</v>
      </c>
      <c r="G20" s="14"/>
      <c r="H20" s="20"/>
      <c r="J20" s="138"/>
      <c r="K20" s="138"/>
      <c r="L20" s="138"/>
      <c r="M20" s="138"/>
    </row>
    <row r="21" spans="1:13" x14ac:dyDescent="0.25">
      <c r="A21" s="13"/>
      <c r="B21" s="159" t="str">
        <f>IF(H3=5,INDEX(Language!B4:F35,14,1),IF(H3=4,INDEX(Language!B4:F35,14,2),IF(H3=3,INDEX(Language!B4:F35,14,3),IF(H3=2,INDEX(Language!B4:F35,14,4),INDEX(Language!B4:F35,14,5)))))</f>
        <v>Min napětí PV MAX Teplota</v>
      </c>
      <c r="C21" s="159"/>
      <c r="D21" s="159"/>
      <c r="E21" s="159"/>
      <c r="F21" s="160">
        <f>'Calculation table'!J35</f>
        <v>43.456121046344528</v>
      </c>
      <c r="G21" s="22"/>
      <c r="H21" s="23"/>
    </row>
    <row r="22" spans="1:13" x14ac:dyDescent="0.25">
      <c r="A22" s="13"/>
      <c r="B22" s="14" t="str">
        <f>IF(H3=5,INDEX(Language!B4:F35,15,1),IF(H3=4,INDEX(Language!B4:F35,15,2),IF(H3=3,INDEX(Language!B4:F35,15,3),IF(H3=2,INDEX(Language!B4:F35,15,4),INDEX(Language!B4:F35,15,5)))))</f>
        <v>Max výstup proud</v>
      </c>
      <c r="C22" s="14"/>
      <c r="D22" s="14"/>
      <c r="E22" s="14"/>
      <c r="F22" s="49">
        <f>INDEX(Regulator!B2:O38,Form!$C$12,14)</f>
        <v>80</v>
      </c>
      <c r="G22" s="14" t="s">
        <v>272</v>
      </c>
      <c r="H22" s="15"/>
    </row>
    <row r="23" spans="1:13" x14ac:dyDescent="0.25">
      <c r="A23" s="13"/>
      <c r="B23" s="140" t="str">
        <f>IF(H3=5,INDEX(Language!B4:F35,16,1),IF(H3=4,INDEX(Language!B4:F35,16,2),IF(H3=3,INDEX(Language!B4:F35,16,3),IF(H3=2,INDEX(Language!B4:F35,16,4),INDEX(Language!B4:F35,16,5)))))</f>
        <v>Max proud@ MPP min. temp.</v>
      </c>
      <c r="C23" s="140"/>
      <c r="D23" s="140"/>
      <c r="E23" s="140"/>
      <c r="F23" s="50">
        <f>IF('Calculation table'!D18=0,"N.A.",'Calculation table'!E38)</f>
        <v>80</v>
      </c>
      <c r="G23" s="148">
        <f>'Calculation table'!G38</f>
        <v>98.850091124999992</v>
      </c>
      <c r="H23" s="15"/>
    </row>
    <row r="24" spans="1:13" x14ac:dyDescent="0.25">
      <c r="A24" s="13"/>
      <c r="B24" s="14"/>
      <c r="C24" s="14"/>
      <c r="D24" s="14"/>
      <c r="E24" s="14"/>
      <c r="F24" s="14" t="str">
        <f>IF(F23="N.A.","",IF('Calculation table'!E38=F22,IF(H3=5,INDEX(Language!B4:F35,27,1),IF(H3=4,INDEX(Language!B4:F35,27,2),IF(H3=3,INDEX(Language!B4:F35,27,3),IF(H3=2,INDEX(Language!B4:F35,27,4),INDEX(Language!B4:F35,27,5))))),""))</f>
        <v>* Výkonový limit @ nizká tep.</v>
      </c>
      <c r="G24" s="14"/>
      <c r="H24" s="15"/>
    </row>
    <row r="25" spans="1:13" x14ac:dyDescent="0.25">
      <c r="A25" s="13"/>
      <c r="B25" s="158" t="str">
        <f>IF(H3=5,INDEX(Language!B4:F35,17,1),IF(H3=4,INDEX(Language!B4:F35,17,2),IF(H3=3,INDEX(Language!B4:F35,17,3),IF(H3=2,INDEX(Language!B4:F35,17,4),INDEX(Language!B4:F35,17,5)))))</f>
        <v>Max proud @ MPP max. temp.</v>
      </c>
      <c r="C25" s="158"/>
      <c r="D25" s="158"/>
      <c r="E25" s="158"/>
      <c r="F25" s="161">
        <f>IF('Calculation table'!D18=0,"N.A.",'Calculation table'!F45)</f>
        <v>77.356889490234366</v>
      </c>
      <c r="G25" s="148">
        <f>'Calculation table'!G45</f>
        <v>77.356889490234366</v>
      </c>
      <c r="H25" s="15"/>
    </row>
    <row r="26" spans="1:13" ht="15.75" thickBot="1" x14ac:dyDescent="0.3">
      <c r="A26" s="13"/>
      <c r="B26" s="14"/>
      <c r="C26" s="14"/>
      <c r="D26" s="14"/>
      <c r="E26" s="14"/>
      <c r="F26" s="14" t="str">
        <f>IF(F25="N.A.","",IF('Calculation table'!F45=F22,IF(H3=5,INDEX(Language!B4:F35,28,1),IF(H3=4,INDEX(Language!B4:F35,28,2),IF(H3=3,INDEX(Language!B4:F35,28,3),IF(H3=2,INDEX(Language!B4:F35,28,4),INDEX(Language!B4:F35,28,5))))),""))</f>
        <v/>
      </c>
      <c r="G26" s="14"/>
      <c r="H26" s="15"/>
    </row>
    <row r="27" spans="1:13" ht="15.75" thickBot="1" x14ac:dyDescent="0.3">
      <c r="A27" s="102"/>
      <c r="B27" s="54" t="str">
        <f>IF(H3=5,INDEX(Language!B4:F35,18,1),IF(H3=4,INDEX(Language!B4:F35,18,2),IF(H3=3,INDEX(Language!B4:F35,18,3),IF(H3=2,INDEX(Language!B4:F35,18,4),INDEX(Language!B4:F35,18,5)))))</f>
        <v>Konfigurace panelů</v>
      </c>
      <c r="C27" s="54"/>
      <c r="D27" s="25"/>
      <c r="E27" s="26"/>
      <c r="F27" s="26" t="str">
        <f>IF(F19&lt;=F18,IF(F23&lt;=F22,IF(F21&gt;F20,G27,H27),H27),H27)</f>
        <v>Akceptováno</v>
      </c>
      <c r="G27" s="135" t="str">
        <f>IF(H3=5,INDEX(Language!B4:F40,37,1),IF(H3=4,INDEX(Language!B4:F40,37,2),IF(H3=3,INDEX(Language!B4:F40,37,3),IF(H3=2,INDEX(Language!B4:F40,37,4),INDEX(Language!B4:F40,37,5)))))</f>
        <v>Akceptováno</v>
      </c>
      <c r="H27" s="136" t="str">
        <f>IF(H3=5,INDEX(Language!B4:F41,38,1),IF(H3=4,INDEX(Language!B4:F41,38,2),IF(H3=3,INDEX(Language!B4:F41,38,3),IF(H3=2,INDEX(Language!B4:F41,38,4),INDEX(Language!B4:F41,38,5)))))</f>
        <v>Neakceptováno</v>
      </c>
    </row>
    <row r="28" spans="1:13" x14ac:dyDescent="0.25">
      <c r="A28" s="21"/>
      <c r="B28" s="22"/>
      <c r="C28" s="22"/>
      <c r="D28" s="22"/>
      <c r="E28" s="22"/>
      <c r="F28" s="22"/>
      <c r="G28" s="22"/>
      <c r="H28" s="23"/>
    </row>
    <row r="29" spans="1:13" s="55" customFormat="1" x14ac:dyDescent="0.25">
      <c r="B29" s="158" t="s">
        <v>296</v>
      </c>
      <c r="C29" s="158"/>
      <c r="D29" s="158"/>
      <c r="E29" s="158"/>
      <c r="F29" s="162">
        <f>G25*F20</f>
        <v>2320.7066847070309</v>
      </c>
      <c r="H29" s="82"/>
    </row>
    <row r="30" spans="1:13" s="55" customFormat="1" x14ac:dyDescent="0.25">
      <c r="B30" s="158" t="s">
        <v>297</v>
      </c>
      <c r="C30" s="158"/>
      <c r="D30" s="158"/>
      <c r="E30" s="158"/>
      <c r="F30" s="162">
        <f>G23*F20</f>
        <v>2965.5027337499996</v>
      </c>
      <c r="H30" s="82"/>
    </row>
    <row r="31" spans="1:13" s="55" customFormat="1" x14ac:dyDescent="0.25">
      <c r="A31" s="103" t="str">
        <f>IF(H3=5,INDEX(Language!B4:F37,34,1),IF(H3=4,INDEX(Language!B4:F37,34,2),IF(H3=3,INDEX(Language!B4:F37,34,3),IF(H3=2,INDEX(Language!B4:F37,34,4),INDEX(Language!B4:F37,34,5)))))</f>
        <v>áno</v>
      </c>
      <c r="B31" s="104"/>
      <c r="C31" s="104"/>
      <c r="D31" s="104"/>
      <c r="E31" s="104"/>
      <c r="F31" s="104"/>
      <c r="G31" s="105"/>
      <c r="H31" s="106" t="str">
        <f>IF(J31=TRUE,IF(H3=5,INDEX(Language!B4:F38,35,1),IF(H3=4,INDEX(Language!B4:F38,35,2),IF(H3=3,INDEX(Language!B4:F38,35,3),IF(H3=2,INDEX(Language!B4:F38,35,4),INDEX(Language!B4:F38,35,5))))),IF(H3=5,INDEX(Language!B4:F39,36,1),IF(H3=4,INDEX(Language!B4:F39,36,2),IF(H3=3,INDEX(Language!B4:F39,36,3),IF(H3=2,INDEX(Language!B4:F39,36,4),INDEX(Language!B4:F39,36,5))))))</f>
        <v>Ne</v>
      </c>
      <c r="J31" s="131" t="b">
        <v>0</v>
      </c>
    </row>
    <row r="32" spans="1:13" s="55" customFormat="1" x14ac:dyDescent="0.25">
      <c r="H32" s="56"/>
    </row>
    <row r="33" spans="1:8" s="55" customFormat="1" x14ac:dyDescent="0.25">
      <c r="A33" s="78" t="str">
        <f>IF(H3=5,INDEX(Language!B4:F35,19,1),IF(H3=4,INDEX(Language!B4:F35,19,2),IF(H3=3,INDEX(Language!B4:F35,19,3),IF(H3=2,INDEX(Language!B4:F35,19,4),INDEX(Language!B4:F35,19,5)))))</f>
        <v>Příklad lokací  s očekávanou teplotou</v>
      </c>
      <c r="B33" s="79"/>
      <c r="C33" s="79"/>
      <c r="D33" s="79"/>
      <c r="E33" s="79"/>
      <c r="F33" s="79"/>
      <c r="G33" s="64" t="str">
        <f>IF(H3=5,INDEX(Language!B4:F35,7,1),IF(H3=4,INDEX(Language!B4:F35,7,2),IF(H3=3,INDEX(Language!B4:F35,7,3),IF(H3=2,INDEX(Language!B4:F35,7,4),INDEX(Language!B4:F35,7,5)))))</f>
        <v>Min.</v>
      </c>
      <c r="H33" s="64" t="str">
        <f>IF(H3=5,INDEX(Language!B4:F35,8,1),IF(H3=4,INDEX(Language!B4:F35,8,2),IF(H3=3,INDEX(Language!B4:F35,8,3),IF(H3=2,INDEX(Language!B4:F35,8,4),INDEX(Language!B4:F35,8,5)))))</f>
        <v>Max.</v>
      </c>
    </row>
    <row r="34" spans="1:8" s="55" customFormat="1" x14ac:dyDescent="0.25">
      <c r="A34" s="80" t="str">
        <f>IF(H3=5,INDEX(Language!B4:F35,20,1),IF(H3=4,INDEX(Language!B4:F35,20,2),IF(H3=3,INDEX(Language!B4:F35,20,3),IF(H3=2,INDEX(Language!B4:F35,20,4),INDEX(Language!B4:F35,20,5)))))</f>
        <v>Plochá karavan ,celý rok,špatná ventilace</v>
      </c>
      <c r="B34" s="81"/>
      <c r="C34" s="81"/>
      <c r="D34" s="81"/>
      <c r="E34" s="81"/>
      <c r="F34" s="81"/>
      <c r="G34" s="61">
        <f>IF(J31=TRUE,-10,0)</f>
        <v>0</v>
      </c>
      <c r="H34" s="61">
        <v>70</v>
      </c>
    </row>
    <row r="35" spans="1:8" s="55" customFormat="1" x14ac:dyDescent="0.25">
      <c r="A35" s="80" t="str">
        <f>IF(H3=5,INDEX(Language!B4:F35,21,1),IF(H3=4,INDEX(Language!B4:F35,21,2),IF(H3=3,INDEX(Language!B4:F35,21,3),IF(H3=2,INDEX(Language!B4:F35,21,4),INDEX(Language!B4:F35,21,5)))))</f>
        <v>Plochá karavan,léto,špatná ventilace</v>
      </c>
      <c r="B35" s="81"/>
      <c r="C35" s="81"/>
      <c r="D35" s="81"/>
      <c r="E35" s="81"/>
      <c r="F35" s="81"/>
      <c r="G35" s="61">
        <f>IF(J31=TRUE,5,15)</f>
        <v>15</v>
      </c>
      <c r="H35" s="61">
        <v>70</v>
      </c>
    </row>
    <row r="36" spans="1:8" s="55" customFormat="1" x14ac:dyDescent="0.25">
      <c r="A36" s="80" t="str">
        <f>IF(H3=5,INDEX(Language!B4:F35,22,1),IF(H3=4,INDEX(Language!B4:F35,22,2),IF(H3=3,INDEX(Language!B4:F35,22,3),IF(H3=2,INDEX(Language!B4:F35,22,4),INDEX(Language!B4:F35,22,5)))))</f>
        <v>Plochá na lodi, dobrá ventilace</v>
      </c>
      <c r="B36" s="81"/>
      <c r="C36" s="81"/>
      <c r="D36" s="81"/>
      <c r="E36" s="81"/>
      <c r="F36" s="81"/>
      <c r="G36" s="61">
        <f>IF(J31=TRUE,0,10)</f>
        <v>10</v>
      </c>
      <c r="H36" s="61">
        <v>65</v>
      </c>
    </row>
    <row r="37" spans="1:8" s="55" customFormat="1" x14ac:dyDescent="0.25">
      <c r="A37" s="80" t="str">
        <f>IF(H3=5,INDEX(Language!B4:F35,23,1),IF(H3=4,INDEX(Language!B4:F35,23,2),IF(H3=3,INDEX(Language!B4:F35,23,3),IF(H3=2,INDEX(Language!B4:F35,23,4),INDEX(Language!B4:F35,23,5)))))</f>
        <v>Zvednutá na lodi</v>
      </c>
      <c r="B37" s="81"/>
      <c r="C37" s="81"/>
      <c r="D37" s="81"/>
      <c r="E37" s="81"/>
      <c r="F37" s="81"/>
      <c r="G37" s="61">
        <f>IF(J31=TRUE,-5,5)</f>
        <v>5</v>
      </c>
      <c r="H37" s="61">
        <v>60</v>
      </c>
    </row>
    <row r="38" spans="1:8" s="55" customFormat="1" x14ac:dyDescent="0.25">
      <c r="A38" s="80" t="str">
        <f>IF(H3=5,INDEX(Language!B4:F35,24,1),IF(H3=4,INDEX(Language!B4:F35,24,2),IF(H3=3,INDEX(Language!B4:F35,24,3),IF(H3=2,INDEX(Language!B4:F35,24,4),INDEX(Language!B4:F35,24,5)))))</f>
        <v>Zvednutá na střeše, teplý region</v>
      </c>
      <c r="B38" s="81"/>
      <c r="C38" s="81"/>
      <c r="D38" s="81"/>
      <c r="E38" s="81"/>
      <c r="F38" s="81"/>
      <c r="G38" s="61">
        <f>IF(J31=TRUE,-5,5)</f>
        <v>5</v>
      </c>
      <c r="H38" s="61">
        <v>70</v>
      </c>
    </row>
    <row r="39" spans="1:8" s="55" customFormat="1" x14ac:dyDescent="0.25">
      <c r="A39" s="80" t="str">
        <f>IF(H3=5,INDEX(Language!B4:F35,25,1),IF(H3=4,INDEX(Language!B4:F35,25,2),IF(H3=3,INDEX(Language!B4:F35,25,3),IF(H3=2,INDEX(Language!B4:F35,25,4),INDEX(Language!B4:F35,25,5)))))</f>
        <v>Zvednutá na střeše, průměr region</v>
      </c>
      <c r="B39" s="81"/>
      <c r="C39" s="81"/>
      <c r="D39" s="81"/>
      <c r="E39" s="81"/>
      <c r="F39" s="81"/>
      <c r="G39" s="61">
        <f>IF(J31=TRUE,-10,0)</f>
        <v>0</v>
      </c>
      <c r="H39" s="61">
        <v>65</v>
      </c>
    </row>
    <row r="40" spans="1:8" s="55" customFormat="1" x14ac:dyDescent="0.25">
      <c r="A40" s="80" t="str">
        <f>IF(H3=5,INDEX(Language!B4:F35,26,1),IF(H3=4,INDEX(Language!B4:F35,26,2),IF(H3=3,INDEX(Language!B4:F35,26,3),IF(H3=2,INDEX(Language!B4:F35,26,4),INDEX(Language!B4:F35,26,5)))))</f>
        <v>Zvednutá na střeše, studený region</v>
      </c>
      <c r="B40" s="81"/>
      <c r="C40" s="81"/>
      <c r="D40" s="81"/>
      <c r="E40" s="81"/>
      <c r="F40" s="81"/>
      <c r="G40" s="61">
        <f>IF(J31=TRUE,-10,-5)</f>
        <v>-5</v>
      </c>
      <c r="H40" s="61">
        <v>60</v>
      </c>
    </row>
    <row r="41" spans="1:8" s="55" customFormat="1" x14ac:dyDescent="0.25"/>
    <row r="42" spans="1:8" s="55" customFormat="1" x14ac:dyDescent="0.25"/>
    <row r="43" spans="1:8" s="55" customFormat="1" x14ac:dyDescent="0.25"/>
    <row r="44" spans="1:8" s="55" customFormat="1" x14ac:dyDescent="0.25"/>
    <row r="45" spans="1:8" s="55" customFormat="1" x14ac:dyDescent="0.25"/>
    <row r="46" spans="1:8" s="55" customFormat="1" x14ac:dyDescent="0.25"/>
    <row r="47" spans="1:8" s="55" customFormat="1" x14ac:dyDescent="0.25"/>
    <row r="48" spans="1:8" s="55" customFormat="1" x14ac:dyDescent="0.25"/>
    <row r="49" s="55" customFormat="1" x14ac:dyDescent="0.25"/>
    <row r="50" s="55" customFormat="1" x14ac:dyDescent="0.25"/>
    <row r="51" s="55" customFormat="1" x14ac:dyDescent="0.25"/>
    <row r="52" s="55" customFormat="1" x14ac:dyDescent="0.25"/>
    <row r="53" s="55" customFormat="1" x14ac:dyDescent="0.25"/>
    <row r="54" s="55" customFormat="1" x14ac:dyDescent="0.25"/>
    <row r="55" s="55" customFormat="1" x14ac:dyDescent="0.25"/>
    <row r="56" s="55" customFormat="1" x14ac:dyDescent="0.25"/>
    <row r="57" s="55" customFormat="1" x14ac:dyDescent="0.25"/>
    <row r="58" s="55" customFormat="1" x14ac:dyDescent="0.25"/>
    <row r="59" s="55" customFormat="1" x14ac:dyDescent="0.25"/>
    <row r="60" s="55" customFormat="1" x14ac:dyDescent="0.25"/>
    <row r="61" s="55" customFormat="1" x14ac:dyDescent="0.25"/>
    <row r="62" s="55" customFormat="1" x14ac:dyDescent="0.25"/>
    <row r="63" s="55" customFormat="1" x14ac:dyDescent="0.25"/>
    <row r="64" s="55" customFormat="1" x14ac:dyDescent="0.25"/>
    <row r="65" s="55" customFormat="1" x14ac:dyDescent="0.25"/>
    <row r="66" s="55" customFormat="1" x14ac:dyDescent="0.25"/>
    <row r="67" s="55" customFormat="1" x14ac:dyDescent="0.25"/>
    <row r="68" s="55" customFormat="1" x14ac:dyDescent="0.25"/>
    <row r="69" s="55" customFormat="1" x14ac:dyDescent="0.25"/>
    <row r="70" s="55" customFormat="1" x14ac:dyDescent="0.25"/>
    <row r="71" s="55" customFormat="1" x14ac:dyDescent="0.25"/>
    <row r="72" s="55" customFormat="1" x14ac:dyDescent="0.25"/>
    <row r="73" s="55" customFormat="1" x14ac:dyDescent="0.25"/>
    <row r="74" s="55" customFormat="1" x14ac:dyDescent="0.25"/>
    <row r="75" s="55" customFormat="1" x14ac:dyDescent="0.25"/>
    <row r="76" s="55" customFormat="1" x14ac:dyDescent="0.25"/>
    <row r="77" s="55" customFormat="1" x14ac:dyDescent="0.25"/>
    <row r="78" s="55" customFormat="1" x14ac:dyDescent="0.25"/>
    <row r="79" s="55" customFormat="1" x14ac:dyDescent="0.25"/>
    <row r="80" s="55" customFormat="1" x14ac:dyDescent="0.25"/>
    <row r="81" s="55" customFormat="1" x14ac:dyDescent="0.25"/>
    <row r="82" s="55" customFormat="1" x14ac:dyDescent="0.25"/>
    <row r="83" s="55" customFormat="1" x14ac:dyDescent="0.25"/>
    <row r="84" s="55" customFormat="1" x14ac:dyDescent="0.25"/>
    <row r="85" s="55" customFormat="1" x14ac:dyDescent="0.25"/>
    <row r="86" s="55" customFormat="1" x14ac:dyDescent="0.25"/>
    <row r="87" s="55" customFormat="1" x14ac:dyDescent="0.25"/>
    <row r="88" s="55" customFormat="1" x14ac:dyDescent="0.25"/>
    <row r="89" s="55" customFormat="1" x14ac:dyDescent="0.25"/>
    <row r="90" s="55" customFormat="1" x14ac:dyDescent="0.25"/>
    <row r="91" s="55" customFormat="1" x14ac:dyDescent="0.25"/>
    <row r="92" s="55" customFormat="1" x14ac:dyDescent="0.25"/>
    <row r="93" s="55" customFormat="1" x14ac:dyDescent="0.25"/>
    <row r="94" s="55" customFormat="1" x14ac:dyDescent="0.25"/>
    <row r="95" s="55" customFormat="1" x14ac:dyDescent="0.25"/>
    <row r="96" s="55" customFormat="1" x14ac:dyDescent="0.25"/>
    <row r="97" s="55" customFormat="1" x14ac:dyDescent="0.25"/>
    <row r="98" s="55" customFormat="1" x14ac:dyDescent="0.25"/>
    <row r="99" s="55" customFormat="1" x14ac:dyDescent="0.25"/>
    <row r="100" s="55" customFormat="1" x14ac:dyDescent="0.25"/>
    <row r="101" s="55" customFormat="1" x14ac:dyDescent="0.25"/>
    <row r="102" s="55" customFormat="1" x14ac:dyDescent="0.25"/>
    <row r="103" s="55" customFormat="1" x14ac:dyDescent="0.25"/>
    <row r="104" s="55" customFormat="1" x14ac:dyDescent="0.25"/>
    <row r="105" s="55" customFormat="1" x14ac:dyDescent="0.25"/>
    <row r="106" s="55" customFormat="1" x14ac:dyDescent="0.25"/>
    <row r="107" s="55" customFormat="1" x14ac:dyDescent="0.25"/>
    <row r="108" s="55" customFormat="1" x14ac:dyDescent="0.25"/>
    <row r="109" s="55" customFormat="1" x14ac:dyDescent="0.25"/>
    <row r="110" s="55" customFormat="1" x14ac:dyDescent="0.25"/>
    <row r="111" s="55" customFormat="1" x14ac:dyDescent="0.25"/>
    <row r="112" s="55" customFormat="1" x14ac:dyDescent="0.25"/>
    <row r="113" s="55" customFormat="1" x14ac:dyDescent="0.25"/>
    <row r="114" s="55" customFormat="1" x14ac:dyDescent="0.25"/>
    <row r="115" s="55" customFormat="1" x14ac:dyDescent="0.25"/>
    <row r="116" s="55" customFormat="1" x14ac:dyDescent="0.25"/>
    <row r="117" s="55" customFormat="1" x14ac:dyDescent="0.25"/>
    <row r="118" s="55" customFormat="1" x14ac:dyDescent="0.25"/>
    <row r="119" s="55" customFormat="1" x14ac:dyDescent="0.25"/>
    <row r="120" s="55" customFormat="1" x14ac:dyDescent="0.25"/>
    <row r="121" s="55" customFormat="1" x14ac:dyDescent="0.25"/>
    <row r="122" s="55" customFormat="1" x14ac:dyDescent="0.25"/>
    <row r="123" s="55" customFormat="1" x14ac:dyDescent="0.25"/>
    <row r="124" s="55" customFormat="1" x14ac:dyDescent="0.25"/>
    <row r="125" s="55" customFormat="1" x14ac:dyDescent="0.25"/>
    <row r="126" s="55" customFormat="1" x14ac:dyDescent="0.25"/>
    <row r="127" s="55" customFormat="1" x14ac:dyDescent="0.25"/>
    <row r="128" s="55" customFormat="1" x14ac:dyDescent="0.25"/>
    <row r="129" s="55" customFormat="1" x14ac:dyDescent="0.25"/>
    <row r="130" s="55" customFormat="1" x14ac:dyDescent="0.25"/>
    <row r="131" s="55" customFormat="1" x14ac:dyDescent="0.25"/>
    <row r="132" s="55" customFormat="1" x14ac:dyDescent="0.25"/>
    <row r="133" s="55" customFormat="1" x14ac:dyDescent="0.25"/>
    <row r="134" s="55" customFormat="1" x14ac:dyDescent="0.25"/>
    <row r="135" s="55" customFormat="1" x14ac:dyDescent="0.25"/>
    <row r="136" s="55" customFormat="1" x14ac:dyDescent="0.25"/>
    <row r="137" s="55" customFormat="1" x14ac:dyDescent="0.25"/>
    <row r="138" s="55" customFormat="1" x14ac:dyDescent="0.25"/>
    <row r="139" s="55" customFormat="1" x14ac:dyDescent="0.25"/>
    <row r="140" s="55" customFormat="1" x14ac:dyDescent="0.25"/>
    <row r="141" s="55" customFormat="1" x14ac:dyDescent="0.25"/>
    <row r="142" s="55" customFormat="1" x14ac:dyDescent="0.25"/>
    <row r="143" s="55" customFormat="1" x14ac:dyDescent="0.25"/>
    <row r="144" s="55" customFormat="1" x14ac:dyDescent="0.25"/>
    <row r="145" s="55" customFormat="1" x14ac:dyDescent="0.25"/>
    <row r="146" s="55" customFormat="1" x14ac:dyDescent="0.25"/>
    <row r="147" s="55" customFormat="1" x14ac:dyDescent="0.25"/>
    <row r="148" s="55" customFormat="1" x14ac:dyDescent="0.25"/>
    <row r="149" s="55" customFormat="1" x14ac:dyDescent="0.25"/>
    <row r="150" s="55" customFormat="1" x14ac:dyDescent="0.25"/>
    <row r="151" s="55" customFormat="1" x14ac:dyDescent="0.25"/>
    <row r="152" s="55" customFormat="1" x14ac:dyDescent="0.25"/>
    <row r="153" s="55" customFormat="1" x14ac:dyDescent="0.25"/>
    <row r="154" s="55" customFormat="1" x14ac:dyDescent="0.25"/>
    <row r="155" s="55" customFormat="1" x14ac:dyDescent="0.25"/>
    <row r="156" s="55" customFormat="1" x14ac:dyDescent="0.25"/>
    <row r="157" s="55" customFormat="1" x14ac:dyDescent="0.25"/>
    <row r="158" s="55" customFormat="1" x14ac:dyDescent="0.25"/>
    <row r="159" s="55" customFormat="1" x14ac:dyDescent="0.25"/>
    <row r="160" s="55" customFormat="1" x14ac:dyDescent="0.25"/>
    <row r="161" s="55" customFormat="1" x14ac:dyDescent="0.25"/>
    <row r="162" s="55" customFormat="1" x14ac:dyDescent="0.25"/>
    <row r="163" s="55" customFormat="1" x14ac:dyDescent="0.25"/>
    <row r="164" s="55" customFormat="1" x14ac:dyDescent="0.25"/>
    <row r="165" s="55" customFormat="1" x14ac:dyDescent="0.25"/>
    <row r="166" s="55" customFormat="1" x14ac:dyDescent="0.25"/>
    <row r="167" s="55" customFormat="1" x14ac:dyDescent="0.25"/>
    <row r="168" s="55" customFormat="1" x14ac:dyDescent="0.25"/>
    <row r="169" s="55" customFormat="1" x14ac:dyDescent="0.25"/>
    <row r="170" s="55" customFormat="1" x14ac:dyDescent="0.25"/>
    <row r="171" s="55" customFormat="1" x14ac:dyDescent="0.25"/>
    <row r="172" s="55" customFormat="1" x14ac:dyDescent="0.25"/>
    <row r="173" s="55" customFormat="1" x14ac:dyDescent="0.25"/>
    <row r="174" s="55" customFormat="1" x14ac:dyDescent="0.25"/>
    <row r="175" s="55" customFormat="1" x14ac:dyDescent="0.25"/>
    <row r="176" s="55" customFormat="1" x14ac:dyDescent="0.25"/>
    <row r="177" s="55" customFormat="1" x14ac:dyDescent="0.25"/>
    <row r="178" s="55" customFormat="1" x14ac:dyDescent="0.25"/>
    <row r="179" s="55" customFormat="1" x14ac:dyDescent="0.25"/>
    <row r="180" s="55" customFormat="1" x14ac:dyDescent="0.25"/>
    <row r="181" s="55" customFormat="1" x14ac:dyDescent="0.25"/>
    <row r="182" s="55" customFormat="1" x14ac:dyDescent="0.25"/>
    <row r="183" s="55" customFormat="1" x14ac:dyDescent="0.25"/>
    <row r="184" s="55" customFormat="1" x14ac:dyDescent="0.25"/>
    <row r="185" s="55" customFormat="1" x14ac:dyDescent="0.25"/>
    <row r="186" s="55" customFormat="1" x14ac:dyDescent="0.25"/>
    <row r="187" s="55" customFormat="1" x14ac:dyDescent="0.25"/>
    <row r="188" s="55" customFormat="1" x14ac:dyDescent="0.25"/>
    <row r="189" s="55" customFormat="1" x14ac:dyDescent="0.25"/>
    <row r="190" s="55" customFormat="1" x14ac:dyDescent="0.25"/>
    <row r="191" s="55" customFormat="1" x14ac:dyDescent="0.25"/>
    <row r="192" s="55" customFormat="1" x14ac:dyDescent="0.25"/>
    <row r="193" s="55" customFormat="1" x14ac:dyDescent="0.25"/>
    <row r="194" s="55" customFormat="1" x14ac:dyDescent="0.25"/>
    <row r="195" s="55" customFormat="1" x14ac:dyDescent="0.25"/>
    <row r="196" s="55" customFormat="1" x14ac:dyDescent="0.25"/>
    <row r="197" s="55" customFormat="1" x14ac:dyDescent="0.25"/>
    <row r="198" s="55" customFormat="1" x14ac:dyDescent="0.25"/>
    <row r="199" s="55" customFormat="1" x14ac:dyDescent="0.25"/>
    <row r="200" s="55" customFormat="1" x14ac:dyDescent="0.25"/>
    <row r="201" s="55" customFormat="1" x14ac:dyDescent="0.25"/>
    <row r="202" s="55" customFormat="1" x14ac:dyDescent="0.25"/>
    <row r="203" s="55" customFormat="1" x14ac:dyDescent="0.25"/>
    <row r="204" s="55" customFormat="1" x14ac:dyDescent="0.25"/>
    <row r="205" s="55" customFormat="1" x14ac:dyDescent="0.25"/>
    <row r="206" s="55" customFormat="1" x14ac:dyDescent="0.25"/>
    <row r="207" s="55" customFormat="1" x14ac:dyDescent="0.25"/>
    <row r="208" s="55" customFormat="1" x14ac:dyDescent="0.25"/>
    <row r="209" s="55" customFormat="1" x14ac:dyDescent="0.25"/>
    <row r="210" s="55" customFormat="1" x14ac:dyDescent="0.25"/>
    <row r="211" s="55" customFormat="1" x14ac:dyDescent="0.25"/>
    <row r="212" s="55" customFormat="1" x14ac:dyDescent="0.25"/>
    <row r="213" s="55" customFormat="1" x14ac:dyDescent="0.25"/>
    <row r="214" s="55" customFormat="1" x14ac:dyDescent="0.25"/>
    <row r="215" s="55" customFormat="1" x14ac:dyDescent="0.25"/>
    <row r="216" s="55" customFormat="1" x14ac:dyDescent="0.25"/>
    <row r="217" s="55" customFormat="1" x14ac:dyDescent="0.25"/>
    <row r="218" s="55" customFormat="1" x14ac:dyDescent="0.25"/>
    <row r="219" s="55" customFormat="1" x14ac:dyDescent="0.25"/>
    <row r="220" s="55" customFormat="1" x14ac:dyDescent="0.25"/>
    <row r="221" s="55" customFormat="1" x14ac:dyDescent="0.25"/>
    <row r="222" s="55" customFormat="1" x14ac:dyDescent="0.25"/>
    <row r="223" s="55" customFormat="1" x14ac:dyDescent="0.25"/>
    <row r="224" s="55" customFormat="1" x14ac:dyDescent="0.25"/>
    <row r="225" s="55" customFormat="1" x14ac:dyDescent="0.25"/>
    <row r="226" s="55" customFormat="1" x14ac:dyDescent="0.25"/>
    <row r="227" s="55" customFormat="1" x14ac:dyDescent="0.25"/>
    <row r="228" s="55" customFormat="1" x14ac:dyDescent="0.25"/>
    <row r="229" s="55" customFormat="1" x14ac:dyDescent="0.25"/>
  </sheetData>
  <sheetProtection selectLockedCells="1" selectUnlockedCells="1"/>
  <mergeCells count="1">
    <mergeCell ref="D1:F2"/>
  </mergeCells>
  <conditionalFormatting sqref="F19">
    <cfRule type="cellIs" dxfId="31" priority="17" operator="greaterThan">
      <formula>$F$18</formula>
    </cfRule>
    <cfRule type="cellIs" dxfId="30" priority="20" operator="lessThanOrEqual">
      <formula>$F$18</formula>
    </cfRule>
  </conditionalFormatting>
  <conditionalFormatting sqref="F23 F25">
    <cfRule type="cellIs" dxfId="29" priority="13" operator="greaterThanOrEqual">
      <formula>$F$22</formula>
    </cfRule>
    <cfRule type="cellIs" dxfId="28" priority="18" operator="lessThan">
      <formula>$F$22</formula>
    </cfRule>
  </conditionalFormatting>
  <conditionalFormatting sqref="F21">
    <cfRule type="cellIs" dxfId="27" priority="14" operator="lessThan">
      <formula>$F$20</formula>
    </cfRule>
    <cfRule type="cellIs" dxfId="26" priority="15" operator="greaterThanOrEqual">
      <formula>$F$20</formula>
    </cfRule>
  </conditionalFormatting>
  <conditionalFormatting sqref="F27">
    <cfRule type="containsText" dxfId="25" priority="1" operator="containsText" text="NOT accepted">
      <formula>NOT(ISERROR(SEARCH("NOT accepted",F27)))</formula>
    </cfRule>
    <cfRule type="containsText" dxfId="24" priority="2" operator="containsText" text="NIET toegestaan">
      <formula>NOT(ISERROR(SEARCH("NIET toegestaan",F27)))</formula>
    </cfRule>
    <cfRule type="containsText" dxfId="23" priority="3" operator="containsText" text="NO aceptado">
      <formula>NOT(ISERROR(SEARCH("NO aceptado",F27)))</formula>
    </cfRule>
    <cfRule type="containsText" dxfId="22" priority="4" operator="containsText" text="NICHT erlaubt">
      <formula>NOT(ISERROR(SEARCH("NICHT erlaubt",F27)))</formula>
    </cfRule>
    <cfRule type="containsText" dxfId="21" priority="5" operator="containsText" text="PAS accepté">
      <formula>NOT(ISERROR(SEARCH("PAS accepté",F27)))</formula>
    </cfRule>
    <cfRule type="containsText" dxfId="20" priority="6" operator="containsText" text="Toegestaan">
      <formula>NOT(ISERROR(SEARCH("Toegestaan",F27)))</formula>
    </cfRule>
    <cfRule type="containsText" dxfId="19" priority="7" operator="containsText" text="Aceptado">
      <formula>NOT(ISERROR(SEARCH("Aceptado",F27)))</formula>
    </cfRule>
    <cfRule type="containsText" dxfId="18" priority="8" operator="containsText" text="Erlaubt">
      <formula>NOT(ISERROR(SEARCH("Erlaubt",F27)))</formula>
    </cfRule>
    <cfRule type="containsText" dxfId="17" priority="11" operator="containsText" text="Accepté">
      <formula>NOT(ISERROR(SEARCH("Accepté",F27)))</formula>
    </cfRule>
    <cfRule type="containsText" dxfId="16" priority="12" operator="containsText" text="Accepted">
      <formula>NOT(ISERROR(SEARCH("Accepted",F27)))</formula>
    </cfRule>
  </conditionalFormatting>
  <dataValidations disablePrompts="1" count="1">
    <dataValidation type="list" allowBlank="1" showInputMessage="1" showErrorMessage="1" sqref="O28:P28" xr:uid="{00000000-0002-0000-0000-000000000000}">
      <formula1>$G$34:$G$40</formula1>
    </dataValidation>
  </dataValidations>
  <pageMargins left="0.7" right="0.7" top="0.75" bottom="0.75" header="0.3" footer="0.3"/>
  <pageSetup paperSize="9" scale="95"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8" r:id="rId4" name="Drop Down 4">
              <controlPr defaultSize="0" autoLine="0" autoPict="0">
                <anchor moveWithCells="1">
                  <from>
                    <xdr:col>2</xdr:col>
                    <xdr:colOff>0</xdr:colOff>
                    <xdr:row>3</xdr:row>
                    <xdr:rowOff>0</xdr:rowOff>
                  </from>
                  <to>
                    <xdr:col>7</xdr:col>
                    <xdr:colOff>419100</xdr:colOff>
                    <xdr:row>4</xdr:row>
                    <xdr:rowOff>9525</xdr:rowOff>
                  </to>
                </anchor>
              </controlPr>
            </control>
          </mc:Choice>
        </mc:AlternateContent>
        <mc:AlternateContent xmlns:mc="http://schemas.openxmlformats.org/markup-compatibility/2006">
          <mc:Choice Requires="x14">
            <control shapeId="1029" r:id="rId5" name="Drop Down 5">
              <controlPr defaultSize="0" autoLine="0" autoPict="0">
                <anchor moveWithCells="1">
                  <from>
                    <xdr:col>1</xdr:col>
                    <xdr:colOff>1381125</xdr:colOff>
                    <xdr:row>11</xdr:row>
                    <xdr:rowOff>19050</xdr:rowOff>
                  </from>
                  <to>
                    <xdr:col>7</xdr:col>
                    <xdr:colOff>409575</xdr:colOff>
                    <xdr:row>12</xdr:row>
                    <xdr:rowOff>38100</xdr:rowOff>
                  </to>
                </anchor>
              </controlPr>
            </control>
          </mc:Choice>
        </mc:AlternateContent>
        <mc:AlternateContent xmlns:mc="http://schemas.openxmlformats.org/markup-compatibility/2006">
          <mc:Choice Requires="x14">
            <control shapeId="1030" r:id="rId6" name="Drop Down 6">
              <controlPr defaultSize="0" autoLine="0" autoPict="0">
                <anchor moveWithCells="1">
                  <from>
                    <xdr:col>4</xdr:col>
                    <xdr:colOff>0</xdr:colOff>
                    <xdr:row>12</xdr:row>
                    <xdr:rowOff>171450</xdr:rowOff>
                  </from>
                  <to>
                    <xdr:col>4</xdr:col>
                    <xdr:colOff>552450</xdr:colOff>
                    <xdr:row>14</xdr:row>
                    <xdr:rowOff>9525</xdr:rowOff>
                  </to>
                </anchor>
              </controlPr>
            </control>
          </mc:Choice>
        </mc:AlternateContent>
        <mc:AlternateContent xmlns:mc="http://schemas.openxmlformats.org/markup-compatibility/2006">
          <mc:Choice Requires="x14">
            <control shapeId="1032" r:id="rId7" name="Spinner 8">
              <controlPr defaultSize="0" autoPict="0">
                <anchor moveWithCells="1" sizeWithCells="1">
                  <from>
                    <xdr:col>4</xdr:col>
                    <xdr:colOff>76200</xdr:colOff>
                    <xdr:row>4</xdr:row>
                    <xdr:rowOff>180975</xdr:rowOff>
                  </from>
                  <to>
                    <xdr:col>4</xdr:col>
                    <xdr:colOff>371475</xdr:colOff>
                    <xdr:row>6</xdr:row>
                    <xdr:rowOff>9525</xdr:rowOff>
                  </to>
                </anchor>
              </controlPr>
            </control>
          </mc:Choice>
        </mc:AlternateContent>
        <mc:AlternateContent xmlns:mc="http://schemas.openxmlformats.org/markup-compatibility/2006">
          <mc:Choice Requires="x14">
            <control shapeId="1033" r:id="rId8" name="Spinner 9">
              <controlPr defaultSize="0" autoPict="0">
                <anchor moveWithCells="1" sizeWithCells="1">
                  <from>
                    <xdr:col>7</xdr:col>
                    <xdr:colOff>95250</xdr:colOff>
                    <xdr:row>4</xdr:row>
                    <xdr:rowOff>180975</xdr:rowOff>
                  </from>
                  <to>
                    <xdr:col>7</xdr:col>
                    <xdr:colOff>390525</xdr:colOff>
                    <xdr:row>6</xdr:row>
                    <xdr:rowOff>9525</xdr:rowOff>
                  </to>
                </anchor>
              </controlPr>
            </control>
          </mc:Choice>
        </mc:AlternateContent>
        <mc:AlternateContent xmlns:mc="http://schemas.openxmlformats.org/markup-compatibility/2006">
          <mc:Choice Requires="x14">
            <control shapeId="1035" r:id="rId9" name="Spinner 11">
              <controlPr defaultSize="0" autoPict="0">
                <anchor moveWithCells="1" sizeWithCells="1">
                  <from>
                    <xdr:col>5</xdr:col>
                    <xdr:colOff>85725</xdr:colOff>
                    <xdr:row>8</xdr:row>
                    <xdr:rowOff>180975</xdr:rowOff>
                  </from>
                  <to>
                    <xdr:col>5</xdr:col>
                    <xdr:colOff>381000</xdr:colOff>
                    <xdr:row>10</xdr:row>
                    <xdr:rowOff>9525</xdr:rowOff>
                  </to>
                </anchor>
              </controlPr>
            </control>
          </mc:Choice>
        </mc:AlternateContent>
        <mc:AlternateContent xmlns:mc="http://schemas.openxmlformats.org/markup-compatibility/2006">
          <mc:Choice Requires="x14">
            <control shapeId="1037" r:id="rId10" name="Spinner 13">
              <controlPr defaultSize="0" autoPict="0">
                <anchor moveWithCells="1" sizeWithCells="1">
                  <from>
                    <xdr:col>7</xdr:col>
                    <xdr:colOff>85725</xdr:colOff>
                    <xdr:row>8</xdr:row>
                    <xdr:rowOff>180975</xdr:rowOff>
                  </from>
                  <to>
                    <xdr:col>7</xdr:col>
                    <xdr:colOff>381000</xdr:colOff>
                    <xdr:row>10</xdr:row>
                    <xdr:rowOff>9525</xdr:rowOff>
                  </to>
                </anchor>
              </controlPr>
            </control>
          </mc:Choice>
        </mc:AlternateContent>
        <mc:AlternateContent xmlns:mc="http://schemas.openxmlformats.org/markup-compatibility/2006">
          <mc:Choice Requires="x14">
            <control shapeId="1038" r:id="rId11" name="Option Button 14">
              <controlPr defaultSize="0" autoFill="0" autoLine="0" autoPict="0">
                <anchor moveWithCells="1">
                  <from>
                    <xdr:col>6</xdr:col>
                    <xdr:colOff>266700</xdr:colOff>
                    <xdr:row>0</xdr:row>
                    <xdr:rowOff>171450</xdr:rowOff>
                  </from>
                  <to>
                    <xdr:col>6</xdr:col>
                    <xdr:colOff>571500</xdr:colOff>
                    <xdr:row>2</xdr:row>
                    <xdr:rowOff>9525</xdr:rowOff>
                  </to>
                </anchor>
              </controlPr>
            </control>
          </mc:Choice>
        </mc:AlternateContent>
        <mc:AlternateContent xmlns:mc="http://schemas.openxmlformats.org/markup-compatibility/2006">
          <mc:Choice Requires="x14">
            <control shapeId="1039" r:id="rId12" name="Option Button 15">
              <controlPr defaultSize="0" autoFill="0" autoLine="0" autoPict="0">
                <anchor moveWithCells="1">
                  <from>
                    <xdr:col>6</xdr:col>
                    <xdr:colOff>514350</xdr:colOff>
                    <xdr:row>0</xdr:row>
                    <xdr:rowOff>171450</xdr:rowOff>
                  </from>
                  <to>
                    <xdr:col>7</xdr:col>
                    <xdr:colOff>180975</xdr:colOff>
                    <xdr:row>2</xdr:row>
                    <xdr:rowOff>9525</xdr:rowOff>
                  </to>
                </anchor>
              </controlPr>
            </control>
          </mc:Choice>
        </mc:AlternateContent>
        <mc:AlternateContent xmlns:mc="http://schemas.openxmlformats.org/markup-compatibility/2006">
          <mc:Choice Requires="x14">
            <control shapeId="1040" r:id="rId13" name="Option Button 16">
              <controlPr defaultSize="0" autoFill="0" autoLine="0" autoPict="0">
                <anchor moveWithCells="1">
                  <from>
                    <xdr:col>7</xdr:col>
                    <xdr:colOff>123825</xdr:colOff>
                    <xdr:row>0</xdr:row>
                    <xdr:rowOff>171450</xdr:rowOff>
                  </from>
                  <to>
                    <xdr:col>7</xdr:col>
                    <xdr:colOff>428625</xdr:colOff>
                    <xdr:row>2</xdr:row>
                    <xdr:rowOff>9525</xdr:rowOff>
                  </to>
                </anchor>
              </controlPr>
            </control>
          </mc:Choice>
        </mc:AlternateContent>
        <mc:AlternateContent xmlns:mc="http://schemas.openxmlformats.org/markup-compatibility/2006">
          <mc:Choice Requires="x14">
            <control shapeId="1041" r:id="rId14" name="Option Button 17">
              <controlPr defaultSize="0" autoFill="0" autoLine="0" autoPict="0">
                <anchor moveWithCells="1">
                  <from>
                    <xdr:col>7</xdr:col>
                    <xdr:colOff>371475</xdr:colOff>
                    <xdr:row>0</xdr:row>
                    <xdr:rowOff>171450</xdr:rowOff>
                  </from>
                  <to>
                    <xdr:col>7</xdr:col>
                    <xdr:colOff>676275</xdr:colOff>
                    <xdr:row>2</xdr:row>
                    <xdr:rowOff>9525</xdr:rowOff>
                  </to>
                </anchor>
              </controlPr>
            </control>
          </mc:Choice>
        </mc:AlternateContent>
        <mc:AlternateContent xmlns:mc="http://schemas.openxmlformats.org/markup-compatibility/2006">
          <mc:Choice Requires="x14">
            <control shapeId="1042" r:id="rId15" name="Option Button 18">
              <controlPr defaultSize="0" autoFill="0" autoLine="0" autoPict="0">
                <anchor moveWithCells="1">
                  <from>
                    <xdr:col>7</xdr:col>
                    <xdr:colOff>609600</xdr:colOff>
                    <xdr:row>0</xdr:row>
                    <xdr:rowOff>171450</xdr:rowOff>
                  </from>
                  <to>
                    <xdr:col>9</xdr:col>
                    <xdr:colOff>114300</xdr:colOff>
                    <xdr:row>2</xdr:row>
                    <xdr:rowOff>9525</xdr:rowOff>
                  </to>
                </anchor>
              </controlPr>
            </control>
          </mc:Choice>
        </mc:AlternateContent>
        <mc:AlternateContent xmlns:mc="http://schemas.openxmlformats.org/markup-compatibility/2006">
          <mc:Choice Requires="x14">
            <control shapeId="1043" r:id="rId16" name="Spinner 19">
              <controlPr defaultSize="0" autoPict="0">
                <anchor moveWithCells="1" sizeWithCells="1">
                  <from>
                    <xdr:col>5</xdr:col>
                    <xdr:colOff>76200</xdr:colOff>
                    <xdr:row>15</xdr:row>
                    <xdr:rowOff>9525</xdr:rowOff>
                  </from>
                  <to>
                    <xdr:col>5</xdr:col>
                    <xdr:colOff>400050</xdr:colOff>
                    <xdr:row>16</xdr:row>
                    <xdr:rowOff>9525</xdr:rowOff>
                  </to>
                </anchor>
              </controlPr>
            </control>
          </mc:Choice>
        </mc:AlternateContent>
        <mc:AlternateContent xmlns:mc="http://schemas.openxmlformats.org/markup-compatibility/2006">
          <mc:Choice Requires="x14">
            <control shapeId="1044" r:id="rId17" name="Spinner 20">
              <controlPr defaultSize="0" autoPict="0">
                <anchor moveWithCells="1" sizeWithCells="1">
                  <from>
                    <xdr:col>7</xdr:col>
                    <xdr:colOff>85725</xdr:colOff>
                    <xdr:row>15</xdr:row>
                    <xdr:rowOff>0</xdr:rowOff>
                  </from>
                  <to>
                    <xdr:col>7</xdr:col>
                    <xdr:colOff>381000</xdr:colOff>
                    <xdr:row>16</xdr:row>
                    <xdr:rowOff>19050</xdr:rowOff>
                  </to>
                </anchor>
              </controlPr>
            </control>
          </mc:Choice>
        </mc:AlternateContent>
        <mc:AlternateContent xmlns:mc="http://schemas.openxmlformats.org/markup-compatibility/2006">
          <mc:Choice Requires="x14">
            <control shapeId="1046" r:id="rId18" name="Check Box 22">
              <controlPr defaultSize="0" autoFill="0" autoLine="0" autoPict="0">
                <anchor moveWithCells="1">
                  <from>
                    <xdr:col>6</xdr:col>
                    <xdr:colOff>371475</xdr:colOff>
                    <xdr:row>29</xdr:row>
                    <xdr:rowOff>171450</xdr:rowOff>
                  </from>
                  <to>
                    <xdr:col>7</xdr:col>
                    <xdr:colOff>38100</xdr:colOff>
                    <xdr:row>31</xdr:row>
                    <xdr:rowOff>9525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Z41"/>
  <sheetViews>
    <sheetView zoomScaleNormal="100" workbookViewId="0">
      <pane xSplit="1" ySplit="2" topLeftCell="B9" activePane="bottomRight" state="frozen"/>
      <selection pane="topRight" activeCell="B1" sqref="B1"/>
      <selection pane="bottomLeft" activeCell="A3" sqref="A3"/>
      <selection pane="bottomRight" activeCell="C25" sqref="C25"/>
    </sheetView>
  </sheetViews>
  <sheetFormatPr defaultColWidth="9.140625" defaultRowHeight="15" x14ac:dyDescent="0.25"/>
  <cols>
    <col min="1" max="1" width="39.5703125" style="52" customWidth="1"/>
    <col min="2" max="2" width="41.42578125" style="53" bestFit="1" customWidth="1"/>
    <col min="3" max="4" width="20" style="53" customWidth="1"/>
    <col min="5" max="5" width="20" style="147" customWidth="1"/>
    <col min="6" max="10" width="20" style="53" customWidth="1"/>
    <col min="11" max="11" width="22.140625" style="53" customWidth="1"/>
    <col min="12" max="16384" width="9.140625" style="53"/>
  </cols>
  <sheetData>
    <row r="1" spans="1:13" x14ac:dyDescent="0.25">
      <c r="A1" s="130"/>
      <c r="B1" s="116" t="s">
        <v>0</v>
      </c>
      <c r="C1" s="71" t="s">
        <v>1</v>
      </c>
      <c r="D1" s="71" t="s">
        <v>2</v>
      </c>
      <c r="E1" s="142" t="s">
        <v>216</v>
      </c>
      <c r="F1" s="71" t="s">
        <v>4</v>
      </c>
      <c r="G1" s="71" t="s">
        <v>217</v>
      </c>
      <c r="H1" s="71" t="s">
        <v>3</v>
      </c>
      <c r="I1" s="71" t="s">
        <v>218</v>
      </c>
      <c r="J1" s="132" t="s">
        <v>5</v>
      </c>
      <c r="K1" s="133" t="s">
        <v>386</v>
      </c>
    </row>
    <row r="2" spans="1:13" x14ac:dyDescent="0.25">
      <c r="A2" s="130"/>
      <c r="B2" s="116" t="s">
        <v>221</v>
      </c>
      <c r="C2" s="115" t="s">
        <v>221</v>
      </c>
      <c r="D2" s="115" t="s">
        <v>222</v>
      </c>
      <c r="E2" s="142" t="s">
        <v>223</v>
      </c>
      <c r="F2" s="115" t="s">
        <v>224</v>
      </c>
      <c r="G2" s="115" t="s">
        <v>223</v>
      </c>
      <c r="H2" s="115" t="s">
        <v>224</v>
      </c>
      <c r="I2" s="115" t="s">
        <v>225</v>
      </c>
      <c r="J2" s="115" t="s">
        <v>225</v>
      </c>
      <c r="K2" s="134"/>
    </row>
    <row r="3" spans="1:13" x14ac:dyDescent="0.25">
      <c r="A3" s="77" t="str">
        <f>B3&amp;" "&amp;C3</f>
        <v xml:space="preserve">Sunny Poly 160Wp 36 cells  </v>
      </c>
      <c r="B3" s="163" t="s">
        <v>258</v>
      </c>
      <c r="C3" s="163"/>
      <c r="D3" s="163">
        <v>160</v>
      </c>
      <c r="E3" s="164">
        <v>19.170000000000002</v>
      </c>
      <c r="F3" s="163">
        <v>8.35</v>
      </c>
      <c r="G3" s="163">
        <v>22.76</v>
      </c>
      <c r="H3" s="163">
        <v>8.9499999999999993</v>
      </c>
      <c r="I3" s="165">
        <v>-0.38</v>
      </c>
      <c r="J3" s="163">
        <v>0.06</v>
      </c>
      <c r="K3" s="74"/>
    </row>
    <row r="4" spans="1:13" x14ac:dyDescent="0.25">
      <c r="A4" s="77" t="s">
        <v>267</v>
      </c>
      <c r="B4" s="74" t="s">
        <v>268</v>
      </c>
      <c r="C4" s="74" t="s">
        <v>269</v>
      </c>
      <c r="D4" s="74">
        <v>210</v>
      </c>
      <c r="E4" s="143">
        <v>25</v>
      </c>
      <c r="F4" s="74">
        <v>6.12</v>
      </c>
      <c r="G4" s="74">
        <v>31.1</v>
      </c>
      <c r="H4" s="74">
        <v>6.62</v>
      </c>
      <c r="I4" s="156">
        <v>-0.34</v>
      </c>
      <c r="J4" s="74">
        <v>0.06</v>
      </c>
      <c r="K4" s="86"/>
    </row>
    <row r="5" spans="1:13" x14ac:dyDescent="0.25">
      <c r="A5" s="77" t="s">
        <v>324</v>
      </c>
      <c r="B5" s="74" t="s">
        <v>261</v>
      </c>
      <c r="C5" s="74" t="s">
        <v>262</v>
      </c>
      <c r="D5" s="74">
        <v>225</v>
      </c>
      <c r="E5" s="143">
        <v>29.4</v>
      </c>
      <c r="F5" s="74">
        <v>7.65</v>
      </c>
      <c r="G5" s="74">
        <v>36.700000000000003</v>
      </c>
      <c r="H5" s="74">
        <v>8.25</v>
      </c>
      <c r="I5" s="74">
        <v>-0.27</v>
      </c>
      <c r="J5" s="74">
        <v>0.05</v>
      </c>
      <c r="K5" s="86"/>
    </row>
    <row r="6" spans="1:13" x14ac:dyDescent="0.25">
      <c r="A6" s="77" t="str">
        <f>B6&amp;" "&amp;C6</f>
        <v>Sunny Poly 270Wp 60 cells 270 VL4</v>
      </c>
      <c r="B6" s="163" t="s">
        <v>256</v>
      </c>
      <c r="C6" s="163" t="s">
        <v>257</v>
      </c>
      <c r="D6" s="163">
        <v>270</v>
      </c>
      <c r="E6" s="164">
        <v>31.6</v>
      </c>
      <c r="F6" s="163">
        <v>8.56</v>
      </c>
      <c r="G6" s="163">
        <v>38.799999999999997</v>
      </c>
      <c r="H6" s="163">
        <v>9.18</v>
      </c>
      <c r="I6" s="165">
        <v>-0.31</v>
      </c>
      <c r="J6" s="163">
        <v>4.7E-2</v>
      </c>
      <c r="K6" s="74"/>
    </row>
    <row r="7" spans="1:13" x14ac:dyDescent="0.25">
      <c r="A7" s="77" t="s">
        <v>330</v>
      </c>
      <c r="B7" s="74" t="s">
        <v>331</v>
      </c>
      <c r="C7" s="74" t="s">
        <v>332</v>
      </c>
      <c r="D7" s="74">
        <v>275</v>
      </c>
      <c r="E7" s="143">
        <v>32.200000000000003</v>
      </c>
      <c r="F7" s="74">
        <v>7.85</v>
      </c>
      <c r="G7" s="74">
        <v>38.6</v>
      </c>
      <c r="H7" s="74">
        <v>8.83</v>
      </c>
      <c r="I7" s="156">
        <v>-0.25</v>
      </c>
      <c r="J7" s="74">
        <v>0.03</v>
      </c>
      <c r="K7" s="86"/>
    </row>
    <row r="8" spans="1:13" x14ac:dyDescent="0.25">
      <c r="A8" s="77" t="s">
        <v>325</v>
      </c>
      <c r="B8" s="74" t="s">
        <v>263</v>
      </c>
      <c r="C8" s="74" t="s">
        <v>264</v>
      </c>
      <c r="D8" s="74">
        <v>280</v>
      </c>
      <c r="E8" s="143">
        <v>31.4</v>
      </c>
      <c r="F8" s="74">
        <v>8.92</v>
      </c>
      <c r="G8" s="74">
        <v>38.200000000000003</v>
      </c>
      <c r="H8" s="74">
        <v>9.4499999999999993</v>
      </c>
      <c r="I8" s="156">
        <v>-0.33</v>
      </c>
      <c r="J8" s="74">
        <v>0.06</v>
      </c>
      <c r="K8" s="86"/>
    </row>
    <row r="9" spans="1:13" x14ac:dyDescent="0.25">
      <c r="A9" s="77" t="s">
        <v>276</v>
      </c>
      <c r="B9" s="74" t="s">
        <v>265</v>
      </c>
      <c r="C9" s="74" t="s">
        <v>266</v>
      </c>
      <c r="D9" s="74">
        <v>285</v>
      </c>
      <c r="E9" s="143">
        <v>31.7</v>
      </c>
      <c r="F9" s="74">
        <v>9</v>
      </c>
      <c r="G9" s="74">
        <v>38.700000000000003</v>
      </c>
      <c r="H9" s="74">
        <v>9.42</v>
      </c>
      <c r="I9" s="156">
        <v>-0.33</v>
      </c>
      <c r="J9" s="74">
        <v>0.06</v>
      </c>
      <c r="K9" s="86"/>
    </row>
    <row r="10" spans="1:13" ht="15.75" customHeight="1" x14ac:dyDescent="0.25">
      <c r="A10" s="77" t="str">
        <f>B10&amp;" "&amp;C10</f>
        <v>Amerisolar 320Wp AS-6M30</v>
      </c>
      <c r="B10" s="163" t="s">
        <v>291</v>
      </c>
      <c r="C10" s="163" t="s">
        <v>292</v>
      </c>
      <c r="D10" s="163">
        <v>300</v>
      </c>
      <c r="E10" s="164">
        <v>32.4</v>
      </c>
      <c r="F10" s="163">
        <v>9.26</v>
      </c>
      <c r="G10" s="163">
        <v>39.6</v>
      </c>
      <c r="H10" s="163">
        <v>9.6999999999999993</v>
      </c>
      <c r="I10" s="165">
        <v>-0.38</v>
      </c>
      <c r="J10" s="163">
        <v>0.06</v>
      </c>
      <c r="K10" s="74"/>
    </row>
    <row r="11" spans="1:13" ht="15.75" customHeight="1" x14ac:dyDescent="0.25">
      <c r="A11" s="77" t="s">
        <v>326</v>
      </c>
      <c r="B11" s="74" t="s">
        <v>289</v>
      </c>
      <c r="C11" s="74" t="s">
        <v>290</v>
      </c>
      <c r="D11" s="74">
        <v>300</v>
      </c>
      <c r="E11" s="143">
        <v>32.700000000000003</v>
      </c>
      <c r="F11" s="74">
        <v>9.19</v>
      </c>
      <c r="G11" s="74">
        <v>39.9</v>
      </c>
      <c r="H11" s="74">
        <v>9.64</v>
      </c>
      <c r="I11" s="156">
        <v>-0.33</v>
      </c>
      <c r="J11" s="74">
        <v>0.06</v>
      </c>
      <c r="K11" s="86"/>
    </row>
    <row r="12" spans="1:13" ht="15.75" customHeight="1" x14ac:dyDescent="0.25">
      <c r="A12" s="77" t="str">
        <f>B12&amp;" "&amp;C12</f>
        <v>Jinko PERC JKM315M-60-V</v>
      </c>
      <c r="B12" s="163" t="s">
        <v>293</v>
      </c>
      <c r="C12" s="163" t="s">
        <v>294</v>
      </c>
      <c r="D12" s="163">
        <v>315</v>
      </c>
      <c r="E12" s="164">
        <v>33.200000000000003</v>
      </c>
      <c r="F12" s="163">
        <v>9.49</v>
      </c>
      <c r="G12" s="163">
        <v>40.700000000000003</v>
      </c>
      <c r="H12" s="163">
        <v>10.4</v>
      </c>
      <c r="I12" s="165">
        <v>-0.28000000000000003</v>
      </c>
      <c r="J12" s="163">
        <v>0.06</v>
      </c>
      <c r="K12" s="74"/>
    </row>
    <row r="13" spans="1:13" ht="15.75" customHeight="1" x14ac:dyDescent="0.25">
      <c r="A13" s="77" t="s">
        <v>311</v>
      </c>
      <c r="B13" s="74" t="s">
        <v>312</v>
      </c>
      <c r="C13" s="74" t="s">
        <v>313</v>
      </c>
      <c r="D13" s="74">
        <v>320</v>
      </c>
      <c r="E13" s="143">
        <v>32.61</v>
      </c>
      <c r="F13" s="74">
        <v>9.83</v>
      </c>
      <c r="G13" s="74">
        <v>39.89</v>
      </c>
      <c r="H13" s="74">
        <v>10.35</v>
      </c>
      <c r="I13" s="74">
        <v>-0.38</v>
      </c>
      <c r="J13" s="74">
        <v>7.0000000000000007E-2</v>
      </c>
      <c r="K13" s="86" t="s">
        <v>314</v>
      </c>
      <c r="L13" s="53">
        <v>2783</v>
      </c>
      <c r="M13" s="53">
        <v>8.6968750000000004</v>
      </c>
    </row>
    <row r="14" spans="1:13" ht="15.75" customHeight="1" x14ac:dyDescent="0.25">
      <c r="A14" s="77" t="s">
        <v>307</v>
      </c>
      <c r="B14" s="74" t="s">
        <v>308</v>
      </c>
      <c r="C14" s="74" t="s">
        <v>309</v>
      </c>
      <c r="D14" s="74">
        <v>325</v>
      </c>
      <c r="E14" s="143">
        <v>33.92</v>
      </c>
      <c r="F14" s="74">
        <v>9.59</v>
      </c>
      <c r="G14" s="74">
        <v>40.700000000000003</v>
      </c>
      <c r="H14" s="74">
        <v>10.37</v>
      </c>
      <c r="I14" s="74">
        <v>-0.28999999999999998</v>
      </c>
      <c r="J14" s="74">
        <v>0.04</v>
      </c>
      <c r="K14" s="86" t="s">
        <v>310</v>
      </c>
    </row>
    <row r="15" spans="1:13" ht="15.75" customHeight="1" x14ac:dyDescent="0.25">
      <c r="A15" s="77" t="s">
        <v>317</v>
      </c>
      <c r="B15" s="74" t="s">
        <v>318</v>
      </c>
      <c r="C15" s="74" t="s">
        <v>319</v>
      </c>
      <c r="D15" s="74">
        <v>336</v>
      </c>
      <c r="E15" s="143">
        <v>38.6</v>
      </c>
      <c r="F15" s="74">
        <v>8.6999999999999993</v>
      </c>
      <c r="G15" s="74">
        <v>46.2</v>
      </c>
      <c r="H15" s="74">
        <v>9.3800000000000008</v>
      </c>
      <c r="I15" s="74">
        <v>-0.26</v>
      </c>
      <c r="J15" s="74">
        <v>0.04</v>
      </c>
      <c r="K15" s="86"/>
    </row>
    <row r="16" spans="1:13" ht="15.75" customHeight="1" x14ac:dyDescent="0.25">
      <c r="A16" s="77" t="s">
        <v>327</v>
      </c>
      <c r="B16" s="74" t="s">
        <v>328</v>
      </c>
      <c r="C16" s="74" t="s">
        <v>329</v>
      </c>
      <c r="D16" s="74">
        <v>340</v>
      </c>
      <c r="E16" s="143">
        <v>34.200000000000003</v>
      </c>
      <c r="F16" s="74">
        <v>9.94</v>
      </c>
      <c r="G16" s="74">
        <v>41.7</v>
      </c>
      <c r="H16" s="74">
        <v>10.5</v>
      </c>
      <c r="I16" s="156">
        <v>-0.33</v>
      </c>
      <c r="J16" s="74">
        <v>0.06</v>
      </c>
      <c r="K16" s="86"/>
    </row>
    <row r="17" spans="1:26" ht="15.75" customHeight="1" x14ac:dyDescent="0.25">
      <c r="A17" s="77" t="str">
        <f>B17&amp;" "&amp;C17</f>
        <v>GWL/POWER ESX-340M-B</v>
      </c>
      <c r="B17" s="163" t="s">
        <v>270</v>
      </c>
      <c r="C17" s="163" t="s">
        <v>295</v>
      </c>
      <c r="D17" s="163">
        <v>340</v>
      </c>
      <c r="E17" s="164">
        <v>34.200000000000003</v>
      </c>
      <c r="F17" s="163">
        <v>9.94</v>
      </c>
      <c r="G17" s="163">
        <v>41.7</v>
      </c>
      <c r="H17" s="163">
        <v>10.5</v>
      </c>
      <c r="I17" s="165">
        <v>-0.3</v>
      </c>
      <c r="J17" s="163">
        <v>0.05</v>
      </c>
      <c r="K17" s="74" t="s">
        <v>387</v>
      </c>
      <c r="L17" s="157"/>
      <c r="M17" s="157"/>
      <c r="N17" s="157"/>
      <c r="O17" s="157"/>
      <c r="P17" s="157"/>
      <c r="Q17" s="157"/>
      <c r="R17" s="157"/>
      <c r="S17" s="157"/>
      <c r="T17" s="157"/>
      <c r="U17" s="157"/>
      <c r="V17" s="157"/>
      <c r="W17" s="157"/>
      <c r="X17" s="157"/>
      <c r="Y17" s="157"/>
      <c r="Z17" s="157"/>
    </row>
    <row r="18" spans="1:26" ht="15.75" customHeight="1" x14ac:dyDescent="0.25">
      <c r="A18" s="77" t="str">
        <f t="shared" ref="A18:A22" si="0">B18&amp;" "&amp;C18</f>
        <v>GWL EXS-380MHC-B 380W</v>
      </c>
      <c r="B18" s="74" t="s">
        <v>322</v>
      </c>
      <c r="C18" s="74" t="s">
        <v>323</v>
      </c>
      <c r="D18" s="74">
        <v>380</v>
      </c>
      <c r="E18" s="143">
        <v>34.799999999999997</v>
      </c>
      <c r="F18" s="74">
        <v>10.92</v>
      </c>
      <c r="G18" s="74">
        <v>41.3</v>
      </c>
      <c r="H18" s="74">
        <v>11.69</v>
      </c>
      <c r="I18" s="74">
        <v>-0.38</v>
      </c>
      <c r="J18" s="74">
        <v>0.06</v>
      </c>
      <c r="K18" s="86"/>
    </row>
    <row r="19" spans="1:26" x14ac:dyDescent="0.25">
      <c r="A19" s="77" t="str">
        <f t="shared" si="0"/>
        <v>(STC)GWL EXS-450MHC-B 450W</v>
      </c>
      <c r="B19" s="74" t="s">
        <v>320</v>
      </c>
      <c r="C19" s="74" t="s">
        <v>321</v>
      </c>
      <c r="D19" s="74">
        <v>450</v>
      </c>
      <c r="E19" s="143">
        <v>41.5</v>
      </c>
      <c r="F19" s="74">
        <v>10.84</v>
      </c>
      <c r="G19" s="74">
        <v>49.3</v>
      </c>
      <c r="H19" s="74">
        <v>11.6</v>
      </c>
      <c r="I19" s="74">
        <v>-0.26</v>
      </c>
      <c r="J19" s="74">
        <v>0.04</v>
      </c>
      <c r="K19" s="86"/>
    </row>
    <row r="20" spans="1:26" x14ac:dyDescent="0.25">
      <c r="A20" s="77" t="str">
        <f t="shared" si="0"/>
        <v>Amerisolar AS-6M144-HC-450W</v>
      </c>
      <c r="B20" s="163" t="s">
        <v>265</v>
      </c>
      <c r="C20" s="163" t="s">
        <v>298</v>
      </c>
      <c r="D20" s="163">
        <v>450</v>
      </c>
      <c r="E20" s="164">
        <v>41.8</v>
      </c>
      <c r="F20" s="163">
        <v>10.77</v>
      </c>
      <c r="G20" s="163">
        <v>50.2</v>
      </c>
      <c r="H20" s="163">
        <v>11.28</v>
      </c>
      <c r="I20" s="165">
        <v>-0.28000000000000003</v>
      </c>
      <c r="J20" s="163">
        <v>0.05</v>
      </c>
      <c r="K20" s="74"/>
    </row>
    <row r="21" spans="1:26" x14ac:dyDescent="0.25">
      <c r="A21" s="77" t="str">
        <f t="shared" si="0"/>
        <v>Swiss solar  IBEX 132MHC-EiGER</v>
      </c>
      <c r="B21" s="74" t="s">
        <v>315</v>
      </c>
      <c r="C21" s="74" t="s">
        <v>316</v>
      </c>
      <c r="D21" s="74">
        <v>500</v>
      </c>
      <c r="E21" s="143">
        <v>40.619999999999997</v>
      </c>
      <c r="F21" s="74">
        <v>12.31</v>
      </c>
      <c r="G21" s="74">
        <v>48.83</v>
      </c>
      <c r="H21" s="74">
        <v>13.2</v>
      </c>
      <c r="I21" s="74">
        <v>-0.34</v>
      </c>
      <c r="J21" s="74">
        <v>4.4999999999999998E-2</v>
      </c>
      <c r="K21" s="86"/>
    </row>
    <row r="22" spans="1:26" x14ac:dyDescent="0.25">
      <c r="A22" s="77" t="str">
        <f t="shared" si="0"/>
        <v>LEAPTON LP210-M-66-MH</v>
      </c>
      <c r="B22" s="74" t="s">
        <v>384</v>
      </c>
      <c r="C22" s="3" t="s">
        <v>388</v>
      </c>
      <c r="D22" s="74">
        <v>650</v>
      </c>
      <c r="E22" s="143">
        <v>37.799999999999997</v>
      </c>
      <c r="F22" s="74">
        <v>17.28</v>
      </c>
      <c r="G22" s="74">
        <v>45.58</v>
      </c>
      <c r="H22" s="74">
        <v>18.16</v>
      </c>
      <c r="I22" s="74">
        <v>-0.28000000000000003</v>
      </c>
      <c r="J22" s="74">
        <v>0.05</v>
      </c>
      <c r="K22" s="86" t="s">
        <v>385</v>
      </c>
    </row>
    <row r="23" spans="1:26" x14ac:dyDescent="0.25">
      <c r="A23" s="77"/>
      <c r="B23" s="163"/>
      <c r="C23" s="163"/>
      <c r="D23" s="163"/>
      <c r="E23" s="164"/>
      <c r="F23" s="163"/>
      <c r="G23" s="163"/>
      <c r="H23" s="163"/>
      <c r="I23" s="165"/>
      <c r="J23" s="163"/>
      <c r="K23" s="74"/>
    </row>
    <row r="24" spans="1:26" x14ac:dyDescent="0.25">
      <c r="A24" s="77"/>
      <c r="B24" s="163"/>
      <c r="C24" s="163"/>
      <c r="D24" s="163"/>
      <c r="E24" s="164"/>
      <c r="F24" s="163"/>
      <c r="G24" s="163"/>
      <c r="H24" s="163"/>
      <c r="I24" s="165"/>
      <c r="J24" s="163"/>
      <c r="K24" s="74"/>
      <c r="L24" s="157"/>
      <c r="M24" s="157"/>
      <c r="N24" s="157"/>
      <c r="O24" s="157"/>
      <c r="P24" s="157"/>
      <c r="Q24" s="157"/>
      <c r="R24" s="157"/>
      <c r="S24" s="157"/>
      <c r="T24" s="157"/>
      <c r="U24" s="157"/>
      <c r="V24" s="157"/>
      <c r="W24" s="157"/>
      <c r="X24" s="157"/>
      <c r="Y24" s="157"/>
      <c r="Z24" s="157"/>
    </row>
    <row r="25" spans="1:26" x14ac:dyDescent="0.25">
      <c r="A25" s="77"/>
      <c r="B25" s="163"/>
      <c r="C25" s="163"/>
      <c r="D25" s="163"/>
      <c r="E25" s="164"/>
      <c r="F25" s="163"/>
      <c r="G25" s="163"/>
      <c r="H25" s="163"/>
      <c r="I25" s="165"/>
      <c r="J25" s="163"/>
      <c r="K25" s="74"/>
    </row>
    <row r="26" spans="1:26" s="157" customFormat="1" x14ac:dyDescent="0.25">
      <c r="A26" s="77"/>
      <c r="B26" s="163"/>
      <c r="C26" s="163"/>
      <c r="D26" s="163"/>
      <c r="E26" s="164"/>
      <c r="F26" s="163"/>
      <c r="G26" s="163"/>
      <c r="H26" s="163"/>
      <c r="I26" s="165"/>
      <c r="J26" s="163"/>
      <c r="K26" s="74"/>
      <c r="L26" s="53"/>
      <c r="M26" s="53"/>
      <c r="N26" s="53"/>
      <c r="O26" s="53"/>
      <c r="P26" s="53"/>
      <c r="Q26" s="53"/>
      <c r="R26" s="53"/>
      <c r="S26" s="53"/>
      <c r="T26" s="53"/>
      <c r="U26" s="53"/>
      <c r="V26" s="53"/>
      <c r="W26" s="53"/>
      <c r="X26" s="53"/>
      <c r="Y26" s="53"/>
      <c r="Z26" s="53"/>
    </row>
    <row r="27" spans="1:26" s="157" customFormat="1" x14ac:dyDescent="0.25">
      <c r="A27" s="77"/>
      <c r="B27" s="74"/>
      <c r="C27" s="74"/>
      <c r="D27" s="74"/>
      <c r="E27" s="143"/>
      <c r="F27" s="74"/>
      <c r="G27" s="74"/>
      <c r="H27" s="74"/>
      <c r="I27" s="74"/>
      <c r="J27" s="74"/>
      <c r="K27" s="74"/>
      <c r="L27" s="53"/>
      <c r="M27" s="53"/>
      <c r="N27" s="53"/>
      <c r="O27" s="53"/>
      <c r="P27" s="53"/>
      <c r="Q27" s="53"/>
      <c r="R27" s="53"/>
      <c r="S27" s="53"/>
      <c r="T27" s="53"/>
      <c r="U27" s="53"/>
      <c r="V27" s="53"/>
      <c r="W27" s="53"/>
      <c r="X27" s="53"/>
      <c r="Y27" s="53"/>
      <c r="Z27" s="53"/>
    </row>
    <row r="28" spans="1:26" x14ac:dyDescent="0.25">
      <c r="A28" s="77"/>
      <c r="B28" s="74"/>
      <c r="C28" s="74"/>
      <c r="D28" s="74"/>
      <c r="E28" s="143"/>
      <c r="F28" s="74"/>
      <c r="G28" s="74"/>
      <c r="H28" s="74"/>
      <c r="I28" s="74"/>
      <c r="J28" s="74"/>
      <c r="K28" s="86"/>
    </row>
    <row r="29" spans="1:26" x14ac:dyDescent="0.25">
      <c r="A29" s="77"/>
      <c r="B29" s="74"/>
      <c r="C29" s="74"/>
      <c r="D29" s="74"/>
      <c r="E29" s="143"/>
      <c r="F29" s="74"/>
      <c r="G29" s="74"/>
      <c r="H29" s="74"/>
      <c r="I29" s="74"/>
      <c r="J29" s="74"/>
      <c r="K29" s="86"/>
    </row>
    <row r="31" spans="1:26" x14ac:dyDescent="0.25">
      <c r="A31" s="119" t="s">
        <v>240</v>
      </c>
      <c r="B31" s="120"/>
      <c r="C31" s="120"/>
      <c r="D31" s="120"/>
      <c r="E31" s="144"/>
      <c r="F31" s="120"/>
      <c r="G31" s="120"/>
      <c r="H31" s="120"/>
      <c r="I31" s="120"/>
      <c r="J31" s="121"/>
    </row>
    <row r="32" spans="1:26" x14ac:dyDescent="0.25">
      <c r="A32" s="122" t="s">
        <v>226</v>
      </c>
      <c r="B32" s="123"/>
      <c r="C32" s="123"/>
      <c r="D32" s="123"/>
      <c r="E32" s="145"/>
      <c r="F32" s="123"/>
      <c r="G32" s="123"/>
      <c r="H32" s="123"/>
      <c r="I32" s="123"/>
      <c r="J32" s="124"/>
    </row>
    <row r="33" spans="1:10" x14ac:dyDescent="0.25">
      <c r="A33" s="125" t="s">
        <v>227</v>
      </c>
      <c r="B33" s="123"/>
      <c r="C33" s="5">
        <v>24.1</v>
      </c>
      <c r="D33" s="126" t="s">
        <v>233</v>
      </c>
      <c r="E33" s="145"/>
      <c r="F33" s="123"/>
      <c r="G33" s="123"/>
      <c r="H33" s="123"/>
      <c r="I33" s="123"/>
      <c r="J33" s="124"/>
    </row>
    <row r="34" spans="1:10" x14ac:dyDescent="0.25">
      <c r="A34" s="125" t="s">
        <v>228</v>
      </c>
      <c r="B34" s="123"/>
      <c r="C34" s="5">
        <v>-77</v>
      </c>
      <c r="D34" s="126" t="s">
        <v>234</v>
      </c>
      <c r="E34" s="145"/>
      <c r="F34" s="123"/>
      <c r="G34" s="123"/>
      <c r="H34" s="123"/>
      <c r="I34" s="123"/>
      <c r="J34" s="124"/>
    </row>
    <row r="35" spans="1:10" x14ac:dyDescent="0.25">
      <c r="A35" s="125" t="s">
        <v>229</v>
      </c>
      <c r="B35" s="123"/>
      <c r="C35" s="118">
        <f>(C34/1000)/(C33/100)</f>
        <v>-0.31950207468879666</v>
      </c>
      <c r="D35" s="126" t="s">
        <v>235</v>
      </c>
      <c r="E35" s="145"/>
      <c r="F35" s="123"/>
      <c r="G35" s="123"/>
      <c r="H35" s="123"/>
      <c r="I35" s="123"/>
      <c r="J35" s="124"/>
    </row>
    <row r="36" spans="1:10" x14ac:dyDescent="0.25">
      <c r="A36" s="127"/>
      <c r="B36" s="123"/>
      <c r="C36" s="123"/>
      <c r="D36" s="123"/>
      <c r="E36" s="145"/>
      <c r="F36" s="123"/>
      <c r="G36" s="123"/>
      <c r="H36" s="123"/>
      <c r="I36" s="123"/>
      <c r="J36" s="124"/>
    </row>
    <row r="37" spans="1:10" x14ac:dyDescent="0.25">
      <c r="A37" s="122" t="s">
        <v>230</v>
      </c>
      <c r="B37" s="123"/>
      <c r="C37" s="123"/>
      <c r="D37" s="123"/>
      <c r="E37" s="145"/>
      <c r="F37" s="123"/>
      <c r="G37" s="123"/>
      <c r="H37" s="123"/>
      <c r="I37" s="123"/>
      <c r="J37" s="124"/>
    </row>
    <row r="38" spans="1:10" x14ac:dyDescent="0.25">
      <c r="A38" s="125" t="s">
        <v>231</v>
      </c>
      <c r="B38" s="123"/>
      <c r="C38" s="5">
        <v>8.7200000000000006</v>
      </c>
      <c r="D38" s="126" t="s">
        <v>236</v>
      </c>
      <c r="E38" s="145"/>
      <c r="F38" s="123"/>
      <c r="G38" s="123"/>
      <c r="H38" s="123"/>
      <c r="I38" s="123"/>
      <c r="J38" s="124"/>
    </row>
    <row r="39" spans="1:10" x14ac:dyDescent="0.25">
      <c r="A39" s="125" t="s">
        <v>232</v>
      </c>
      <c r="B39" s="123"/>
      <c r="C39" s="5">
        <v>4.7</v>
      </c>
      <c r="D39" s="126" t="s">
        <v>237</v>
      </c>
      <c r="E39" s="145"/>
      <c r="F39" s="123"/>
      <c r="G39" s="123"/>
      <c r="H39" s="123"/>
      <c r="I39" s="123"/>
      <c r="J39" s="124"/>
    </row>
    <row r="40" spans="1:10" x14ac:dyDescent="0.25">
      <c r="A40" s="125" t="s">
        <v>229</v>
      </c>
      <c r="B40" s="123"/>
      <c r="C40" s="118">
        <f>(C39/1000)/(C38/100)</f>
        <v>5.3899082568807342E-2</v>
      </c>
      <c r="D40" s="126" t="s">
        <v>235</v>
      </c>
      <c r="E40" s="145"/>
      <c r="F40" s="123"/>
      <c r="G40" s="123"/>
      <c r="H40" s="123"/>
      <c r="I40" s="123"/>
      <c r="J40" s="124"/>
    </row>
    <row r="41" spans="1:10" x14ac:dyDescent="0.25">
      <c r="A41" s="128"/>
      <c r="B41" s="117"/>
      <c r="C41" s="117"/>
      <c r="D41" s="117"/>
      <c r="E41" s="146"/>
      <c r="F41" s="117"/>
      <c r="G41" s="117"/>
      <c r="H41" s="117"/>
      <c r="I41" s="117"/>
      <c r="J41" s="129"/>
    </row>
  </sheetData>
  <sheetProtection selectLockedCells="1"/>
  <autoFilter ref="A2:Z29" xr:uid="{00000000-0009-0000-0000-000001000000}">
    <sortState xmlns:xlrd2="http://schemas.microsoft.com/office/spreadsheetml/2017/richdata2" ref="A3:Z29">
      <sortCondition ref="D2:D29"/>
    </sortState>
  </autoFilter>
  <conditionalFormatting sqref="I20:I22 I28:I29">
    <cfRule type="cellIs" dxfId="15" priority="13" operator="lessThan">
      <formula>-0.5</formula>
    </cfRule>
    <cfRule type="cellIs" dxfId="14" priority="14" operator="greaterThanOrEqual">
      <formula>0</formula>
    </cfRule>
  </conditionalFormatting>
  <conditionalFormatting sqref="J20:J22 J28">
    <cfRule type="cellIs" dxfId="13" priority="11" operator="greaterThan">
      <formula>0.1</formula>
    </cfRule>
    <cfRule type="cellIs" dxfId="12" priority="12" operator="lessThan">
      <formula>0</formula>
    </cfRule>
  </conditionalFormatting>
  <conditionalFormatting sqref="I23">
    <cfRule type="cellIs" dxfId="11" priority="9" operator="lessThan">
      <formula>-0.5</formula>
    </cfRule>
    <cfRule type="cellIs" dxfId="10" priority="10" operator="greaterThanOrEqual">
      <formula>0</formula>
    </cfRule>
  </conditionalFormatting>
  <conditionalFormatting sqref="J23">
    <cfRule type="cellIs" dxfId="9" priority="7" operator="greaterThan">
      <formula>0.1</formula>
    </cfRule>
    <cfRule type="cellIs" dxfId="8" priority="8" operator="lessThan">
      <formula>0</formula>
    </cfRule>
  </conditionalFormatting>
  <conditionalFormatting sqref="I24:I27">
    <cfRule type="cellIs" dxfId="7" priority="5" operator="lessThan">
      <formula>-0.5</formula>
    </cfRule>
    <cfRule type="cellIs" dxfId="6" priority="6" operator="greaterThanOrEqual">
      <formula>0</formula>
    </cfRule>
  </conditionalFormatting>
  <conditionalFormatting sqref="J24:J27">
    <cfRule type="cellIs" dxfId="5" priority="3" operator="greaterThan">
      <formula>0.1</formula>
    </cfRule>
    <cfRule type="cellIs" dxfId="4" priority="4" operator="lessThan">
      <formula>0</formula>
    </cfRule>
  </conditionalFormatting>
  <conditionalFormatting sqref="J29">
    <cfRule type="cellIs" dxfId="3" priority="1" operator="greaterThan">
      <formula>0.1</formula>
    </cfRule>
    <cfRule type="cellIs" dxfId="2" priority="2" operator="lessThan">
      <formula>0</formula>
    </cfRule>
  </conditionalFormatting>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Z30"/>
  <sheetViews>
    <sheetView workbookViewId="0">
      <selection activeCell="A38" sqref="A38"/>
    </sheetView>
  </sheetViews>
  <sheetFormatPr defaultColWidth="9.140625" defaultRowHeight="15" x14ac:dyDescent="0.25"/>
  <cols>
    <col min="1" max="1" width="37.42578125" style="51" customWidth="1"/>
    <col min="2" max="2" width="16.140625" style="51" customWidth="1"/>
    <col min="3" max="3" width="28" style="51" customWidth="1"/>
    <col min="4" max="7" width="12.7109375" style="51" bestFit="1" customWidth="1"/>
    <col min="8" max="8" width="8.42578125" style="51" bestFit="1" customWidth="1"/>
    <col min="9" max="9" width="8.140625" style="51" bestFit="1" customWidth="1"/>
    <col min="10" max="10" width="10.140625" style="51" bestFit="1" customWidth="1"/>
    <col min="11" max="14" width="6.7109375" style="51" customWidth="1"/>
    <col min="15" max="15" width="9.140625" style="51"/>
    <col min="16" max="16" width="13.5703125" style="51" bestFit="1" customWidth="1"/>
    <col min="17" max="19" width="13.28515625" style="51" customWidth="1"/>
    <col min="20" max="16384" width="9.140625" style="51"/>
  </cols>
  <sheetData>
    <row r="1" spans="1:20" x14ac:dyDescent="0.25">
      <c r="A1" s="71"/>
      <c r="B1" s="71" t="s">
        <v>0</v>
      </c>
      <c r="C1" s="71" t="s">
        <v>1</v>
      </c>
      <c r="D1" s="71" t="s">
        <v>12</v>
      </c>
      <c r="E1" s="71" t="s">
        <v>13</v>
      </c>
      <c r="F1" s="71" t="s">
        <v>14</v>
      </c>
      <c r="G1" s="71" t="s">
        <v>15</v>
      </c>
      <c r="H1" s="71" t="s">
        <v>68</v>
      </c>
      <c r="I1" s="71" t="s">
        <v>69</v>
      </c>
      <c r="J1" s="71" t="s">
        <v>70</v>
      </c>
      <c r="K1" s="175" t="s">
        <v>21</v>
      </c>
      <c r="L1" s="175"/>
      <c r="M1" s="175"/>
      <c r="N1" s="175"/>
      <c r="O1" s="71" t="s">
        <v>23</v>
      </c>
      <c r="P1" s="72" t="s">
        <v>29</v>
      </c>
      <c r="Q1" s="72" t="s">
        <v>30</v>
      </c>
      <c r="R1" s="72" t="s">
        <v>31</v>
      </c>
      <c r="S1" s="72" t="s">
        <v>32</v>
      </c>
      <c r="T1" s="53"/>
    </row>
    <row r="2" spans="1:20" x14ac:dyDescent="0.25">
      <c r="A2" s="73" t="str">
        <f t="shared" ref="A2:A11" si="0">B2&amp;" "&amp;C2</f>
        <v>Victron Energy BlueSolar MPPT 75/15</v>
      </c>
      <c r="B2" s="74" t="s">
        <v>6</v>
      </c>
      <c r="C2" s="74" t="s">
        <v>7</v>
      </c>
      <c r="D2" s="74">
        <v>200</v>
      </c>
      <c r="E2" s="74">
        <v>400</v>
      </c>
      <c r="F2" s="75">
        <v>0</v>
      </c>
      <c r="G2" s="75">
        <v>0</v>
      </c>
      <c r="H2" s="74">
        <v>75</v>
      </c>
      <c r="I2" s="76">
        <v>5</v>
      </c>
      <c r="J2" s="76">
        <v>1</v>
      </c>
      <c r="K2" s="74">
        <v>12</v>
      </c>
      <c r="L2" s="74">
        <v>24</v>
      </c>
      <c r="M2" s="75" t="s">
        <v>114</v>
      </c>
      <c r="N2" s="75" t="s">
        <v>114</v>
      </c>
      <c r="O2" s="74">
        <v>15</v>
      </c>
      <c r="P2" s="74">
        <v>0.98</v>
      </c>
      <c r="Q2" s="74">
        <v>0.98</v>
      </c>
      <c r="R2" s="75">
        <v>0</v>
      </c>
      <c r="S2" s="75">
        <v>0</v>
      </c>
      <c r="T2" s="53"/>
    </row>
    <row r="3" spans="1:20" x14ac:dyDescent="0.25">
      <c r="A3" s="73" t="str">
        <f t="shared" si="0"/>
        <v>Victron Energy BlueSolar MPPT 75/50</v>
      </c>
      <c r="B3" s="74" t="s">
        <v>6</v>
      </c>
      <c r="C3" s="74" t="s">
        <v>8</v>
      </c>
      <c r="D3" s="74">
        <v>700</v>
      </c>
      <c r="E3" s="74">
        <v>1400</v>
      </c>
      <c r="F3" s="75">
        <v>0</v>
      </c>
      <c r="G3" s="75">
        <v>0</v>
      </c>
      <c r="H3" s="74">
        <v>75</v>
      </c>
      <c r="I3" s="76">
        <v>5</v>
      </c>
      <c r="J3" s="76">
        <v>1</v>
      </c>
      <c r="K3" s="74">
        <v>12</v>
      </c>
      <c r="L3" s="74">
        <v>24</v>
      </c>
      <c r="M3" s="75" t="s">
        <v>114</v>
      </c>
      <c r="N3" s="75" t="s">
        <v>114</v>
      </c>
      <c r="O3" s="74">
        <v>50</v>
      </c>
      <c r="P3" s="74">
        <v>0.98</v>
      </c>
      <c r="Q3" s="74">
        <v>0.98</v>
      </c>
      <c r="R3" s="75">
        <v>0</v>
      </c>
      <c r="S3" s="75">
        <v>0</v>
      </c>
      <c r="T3" s="53"/>
    </row>
    <row r="4" spans="1:20" x14ac:dyDescent="0.25">
      <c r="A4" s="73" t="str">
        <f t="shared" si="0"/>
        <v>Victron Energy BlueSolar MPPT 100/15</v>
      </c>
      <c r="B4" s="74" t="s">
        <v>6</v>
      </c>
      <c r="C4" s="74" t="s">
        <v>37</v>
      </c>
      <c r="D4" s="74">
        <v>200</v>
      </c>
      <c r="E4" s="74">
        <v>400</v>
      </c>
      <c r="F4" s="75">
        <v>0</v>
      </c>
      <c r="G4" s="75">
        <v>0</v>
      </c>
      <c r="H4" s="74">
        <v>100</v>
      </c>
      <c r="I4" s="76">
        <v>5</v>
      </c>
      <c r="J4" s="76">
        <v>1</v>
      </c>
      <c r="K4" s="74">
        <v>12</v>
      </c>
      <c r="L4" s="74">
        <v>24</v>
      </c>
      <c r="M4" s="75" t="s">
        <v>114</v>
      </c>
      <c r="N4" s="75" t="s">
        <v>114</v>
      </c>
      <c r="O4" s="74">
        <v>15</v>
      </c>
      <c r="P4" s="74">
        <v>0.98</v>
      </c>
      <c r="Q4" s="74">
        <v>0.98</v>
      </c>
      <c r="R4" s="75">
        <v>0</v>
      </c>
      <c r="S4" s="75">
        <v>0</v>
      </c>
      <c r="T4" s="53"/>
    </row>
    <row r="5" spans="1:20" x14ac:dyDescent="0.25">
      <c r="A5" s="73" t="str">
        <f t="shared" si="0"/>
        <v>Victron Energy BlueSolar MPPT 100/30</v>
      </c>
      <c r="B5" s="74" t="s">
        <v>6</v>
      </c>
      <c r="C5" s="74" t="s">
        <v>183</v>
      </c>
      <c r="D5" s="86">
        <v>440</v>
      </c>
      <c r="E5" s="86">
        <v>880</v>
      </c>
      <c r="F5" s="87">
        <v>0</v>
      </c>
      <c r="G5" s="87">
        <v>0</v>
      </c>
      <c r="H5" s="86">
        <v>100</v>
      </c>
      <c r="I5" s="88">
        <v>5</v>
      </c>
      <c r="J5" s="88">
        <v>1</v>
      </c>
      <c r="K5" s="86">
        <v>12</v>
      </c>
      <c r="L5" s="86">
        <v>24</v>
      </c>
      <c r="M5" s="87" t="s">
        <v>114</v>
      </c>
      <c r="N5" s="87" t="s">
        <v>114</v>
      </c>
      <c r="O5" s="86">
        <v>30</v>
      </c>
      <c r="P5" s="86">
        <v>0.98</v>
      </c>
      <c r="Q5" s="86">
        <v>0.98</v>
      </c>
      <c r="R5" s="87">
        <v>0</v>
      </c>
      <c r="S5" s="87">
        <v>0</v>
      </c>
      <c r="T5" s="53"/>
    </row>
    <row r="6" spans="1:20" x14ac:dyDescent="0.25">
      <c r="A6" s="73" t="str">
        <f t="shared" si="0"/>
        <v>Victron Energy BlueSolar MPPT 100/50</v>
      </c>
      <c r="B6" s="74" t="s">
        <v>6</v>
      </c>
      <c r="C6" s="74" t="s">
        <v>182</v>
      </c>
      <c r="D6" s="86">
        <v>700</v>
      </c>
      <c r="E6" s="86">
        <v>1400</v>
      </c>
      <c r="F6" s="87">
        <v>0</v>
      </c>
      <c r="G6" s="87">
        <v>0</v>
      </c>
      <c r="H6" s="86">
        <v>100</v>
      </c>
      <c r="I6" s="88">
        <v>5</v>
      </c>
      <c r="J6" s="88">
        <v>1</v>
      </c>
      <c r="K6" s="86">
        <v>12</v>
      </c>
      <c r="L6" s="86">
        <v>24</v>
      </c>
      <c r="M6" s="87" t="s">
        <v>114</v>
      </c>
      <c r="N6" s="87" t="s">
        <v>114</v>
      </c>
      <c r="O6" s="86">
        <v>50</v>
      </c>
      <c r="P6" s="86">
        <v>0.98</v>
      </c>
      <c r="Q6" s="86">
        <v>0.98</v>
      </c>
      <c r="R6" s="87">
        <v>0</v>
      </c>
      <c r="S6" s="87">
        <v>0</v>
      </c>
      <c r="T6" s="53"/>
    </row>
    <row r="7" spans="1:20" x14ac:dyDescent="0.25">
      <c r="A7" s="73" t="str">
        <f t="shared" si="0"/>
        <v>Victron Energy BlueSolar MPPT 150/35</v>
      </c>
      <c r="B7" s="74" t="s">
        <v>6</v>
      </c>
      <c r="C7" s="74" t="s">
        <v>184</v>
      </c>
      <c r="D7" s="86">
        <v>500</v>
      </c>
      <c r="E7" s="86">
        <v>1000</v>
      </c>
      <c r="F7" s="86">
        <v>1500</v>
      </c>
      <c r="G7" s="86">
        <v>2000</v>
      </c>
      <c r="H7" s="86">
        <v>150</v>
      </c>
      <c r="I7" s="88">
        <v>5</v>
      </c>
      <c r="J7" s="88">
        <v>1</v>
      </c>
      <c r="K7" s="86">
        <v>12</v>
      </c>
      <c r="L7" s="86">
        <v>24</v>
      </c>
      <c r="M7" s="86">
        <v>36</v>
      </c>
      <c r="N7" s="86">
        <v>48</v>
      </c>
      <c r="O7" s="86">
        <v>35</v>
      </c>
      <c r="P7" s="86">
        <v>0.98</v>
      </c>
      <c r="Q7" s="86">
        <v>0.98</v>
      </c>
      <c r="R7" s="86">
        <v>0.98</v>
      </c>
      <c r="S7" s="86">
        <v>0.98</v>
      </c>
      <c r="T7" s="53"/>
    </row>
    <row r="8" spans="1:20" x14ac:dyDescent="0.25">
      <c r="A8" s="73" t="str">
        <f t="shared" si="0"/>
        <v>Victron Energy BlueSolar MPPT 150/70</v>
      </c>
      <c r="B8" s="74" t="s">
        <v>6</v>
      </c>
      <c r="C8" s="74" t="s">
        <v>9</v>
      </c>
      <c r="D8" s="74">
        <v>1000</v>
      </c>
      <c r="E8" s="74">
        <v>2000</v>
      </c>
      <c r="F8" s="74">
        <v>3000</v>
      </c>
      <c r="G8" s="74">
        <v>4000</v>
      </c>
      <c r="H8" s="74">
        <v>150</v>
      </c>
      <c r="I8" s="76">
        <v>7</v>
      </c>
      <c r="J8" s="76">
        <v>2</v>
      </c>
      <c r="K8" s="74">
        <v>12</v>
      </c>
      <c r="L8" s="74">
        <v>24</v>
      </c>
      <c r="M8" s="74">
        <v>36</v>
      </c>
      <c r="N8" s="74">
        <v>48</v>
      </c>
      <c r="O8" s="74">
        <v>70</v>
      </c>
      <c r="P8" s="74">
        <v>0.95</v>
      </c>
      <c r="Q8" s="74">
        <v>0.96499999999999997</v>
      </c>
      <c r="R8" s="74">
        <v>0.97</v>
      </c>
      <c r="S8" s="74">
        <v>0.97499999999999998</v>
      </c>
      <c r="T8" s="53"/>
    </row>
    <row r="9" spans="1:20" x14ac:dyDescent="0.25">
      <c r="A9" s="73" t="str">
        <f t="shared" si="0"/>
        <v>Victron Energy BlueSolar MPPT 150/85</v>
      </c>
      <c r="B9" s="74" t="s">
        <v>6</v>
      </c>
      <c r="C9" s="74" t="s">
        <v>181</v>
      </c>
      <c r="D9" s="86">
        <v>1200</v>
      </c>
      <c r="E9" s="86">
        <v>2400</v>
      </c>
      <c r="F9" s="86">
        <v>3600</v>
      </c>
      <c r="G9" s="86">
        <v>4850</v>
      </c>
      <c r="H9" s="86">
        <v>150</v>
      </c>
      <c r="I9" s="88">
        <v>7</v>
      </c>
      <c r="J9" s="88">
        <v>2</v>
      </c>
      <c r="K9" s="86">
        <v>12</v>
      </c>
      <c r="L9" s="86">
        <v>24</v>
      </c>
      <c r="M9" s="86">
        <v>36</v>
      </c>
      <c r="N9" s="86">
        <v>48</v>
      </c>
      <c r="O9" s="86">
        <v>85</v>
      </c>
      <c r="P9" s="86">
        <v>0.95</v>
      </c>
      <c r="Q9" s="86">
        <v>0.96499999999999997</v>
      </c>
      <c r="R9" s="86">
        <v>0.97</v>
      </c>
      <c r="S9" s="86">
        <v>0.97499999999999998</v>
      </c>
    </row>
    <row r="10" spans="1:20" x14ac:dyDescent="0.25">
      <c r="A10" s="73" t="str">
        <f t="shared" si="0"/>
        <v>EPEVER XTRA1206N</v>
      </c>
      <c r="B10" s="74" t="s">
        <v>259</v>
      </c>
      <c r="C10" s="74" t="s">
        <v>299</v>
      </c>
      <c r="D10" s="86">
        <v>130</v>
      </c>
      <c r="E10" s="86">
        <v>260</v>
      </c>
      <c r="F10" s="86">
        <v>0</v>
      </c>
      <c r="G10" s="86">
        <v>0</v>
      </c>
      <c r="H10" s="86">
        <v>60</v>
      </c>
      <c r="I10" s="88">
        <v>5</v>
      </c>
      <c r="J10" s="88">
        <v>1</v>
      </c>
      <c r="K10" s="86">
        <v>12</v>
      </c>
      <c r="L10" s="86">
        <v>24</v>
      </c>
      <c r="M10" s="87" t="s">
        <v>114</v>
      </c>
      <c r="N10" s="87" t="s">
        <v>114</v>
      </c>
      <c r="O10" s="86">
        <v>10</v>
      </c>
      <c r="P10" s="86">
        <v>0.95</v>
      </c>
      <c r="Q10" s="86">
        <v>0.96499999999999997</v>
      </c>
      <c r="R10" s="86">
        <v>0</v>
      </c>
      <c r="S10" s="86">
        <v>0</v>
      </c>
    </row>
    <row r="11" spans="1:20" x14ac:dyDescent="0.25">
      <c r="A11" s="73" t="str">
        <f t="shared" si="0"/>
        <v>EPEVER XTRA1210N</v>
      </c>
      <c r="B11" s="74" t="s">
        <v>259</v>
      </c>
      <c r="C11" s="74" t="s">
        <v>300</v>
      </c>
      <c r="D11" s="86">
        <v>130</v>
      </c>
      <c r="E11" s="86">
        <v>260</v>
      </c>
      <c r="F11" s="86">
        <v>0</v>
      </c>
      <c r="G11" s="86">
        <v>0</v>
      </c>
      <c r="H11" s="86">
        <v>100</v>
      </c>
      <c r="I11" s="88">
        <v>5</v>
      </c>
      <c r="J11" s="88">
        <v>1</v>
      </c>
      <c r="K11" s="86">
        <v>12</v>
      </c>
      <c r="L11" s="86">
        <v>24</v>
      </c>
      <c r="M11" s="87" t="s">
        <v>114</v>
      </c>
      <c r="N11" s="87" t="s">
        <v>114</v>
      </c>
      <c r="O11" s="86">
        <v>10</v>
      </c>
      <c r="P11" s="86">
        <v>0.95</v>
      </c>
      <c r="Q11" s="86">
        <v>0.96499999999999997</v>
      </c>
      <c r="R11" s="86">
        <v>0</v>
      </c>
      <c r="S11" s="86">
        <v>0</v>
      </c>
    </row>
    <row r="12" spans="1:20" x14ac:dyDescent="0.25">
      <c r="A12" s="73" t="str">
        <f t="shared" ref="A12:A30" si="1">B12&amp;" "&amp;C12</f>
        <v>EPEVER XTRA2210N</v>
      </c>
      <c r="B12" s="74" t="s">
        <v>259</v>
      </c>
      <c r="C12" s="74" t="s">
        <v>301</v>
      </c>
      <c r="D12" s="86">
        <v>260</v>
      </c>
      <c r="E12" s="86">
        <v>520</v>
      </c>
      <c r="F12" s="86">
        <v>0</v>
      </c>
      <c r="G12" s="86">
        <v>0</v>
      </c>
      <c r="H12" s="86">
        <v>100</v>
      </c>
      <c r="I12" s="88">
        <v>5</v>
      </c>
      <c r="J12" s="88">
        <v>1</v>
      </c>
      <c r="K12" s="86">
        <v>12</v>
      </c>
      <c r="L12" s="86">
        <v>24</v>
      </c>
      <c r="M12" s="87" t="s">
        <v>114</v>
      </c>
      <c r="N12" s="87" t="s">
        <v>114</v>
      </c>
      <c r="O12" s="86">
        <v>20</v>
      </c>
      <c r="P12" s="86">
        <v>0.95</v>
      </c>
      <c r="Q12" s="86">
        <v>0.96499999999999997</v>
      </c>
      <c r="R12" s="86">
        <v>0</v>
      </c>
      <c r="S12" s="86">
        <v>0</v>
      </c>
    </row>
    <row r="13" spans="1:20" x14ac:dyDescent="0.25">
      <c r="A13" s="73" t="str">
        <f t="shared" si="1"/>
        <v>EPEVER XTRA3210N</v>
      </c>
      <c r="B13" s="74" t="s">
        <v>259</v>
      </c>
      <c r="C13" s="74" t="s">
        <v>302</v>
      </c>
      <c r="D13" s="86">
        <v>390</v>
      </c>
      <c r="E13" s="86">
        <v>780</v>
      </c>
      <c r="F13" s="86">
        <v>0</v>
      </c>
      <c r="G13" s="86">
        <v>0</v>
      </c>
      <c r="H13" s="86">
        <v>100</v>
      </c>
      <c r="I13" s="88">
        <v>5</v>
      </c>
      <c r="J13" s="88">
        <v>1</v>
      </c>
      <c r="K13" s="86">
        <v>12</v>
      </c>
      <c r="L13" s="86">
        <v>24</v>
      </c>
      <c r="M13" s="87" t="s">
        <v>114</v>
      </c>
      <c r="N13" s="87" t="s">
        <v>114</v>
      </c>
      <c r="O13" s="86">
        <v>30</v>
      </c>
      <c r="P13" s="86">
        <v>0.95</v>
      </c>
      <c r="Q13" s="86">
        <v>0.96499999999999997</v>
      </c>
      <c r="R13" s="86">
        <v>0</v>
      </c>
      <c r="S13" s="86">
        <v>0</v>
      </c>
    </row>
    <row r="14" spans="1:20" x14ac:dyDescent="0.25">
      <c r="A14" s="73" t="str">
        <f t="shared" si="1"/>
        <v>EPEVER XTRA3215N</v>
      </c>
      <c r="B14" s="74" t="s">
        <v>259</v>
      </c>
      <c r="C14" s="74" t="s">
        <v>303</v>
      </c>
      <c r="D14" s="86">
        <v>390</v>
      </c>
      <c r="E14" s="86">
        <v>780</v>
      </c>
      <c r="F14" s="86">
        <v>0</v>
      </c>
      <c r="G14" s="86">
        <v>0</v>
      </c>
      <c r="H14" s="86">
        <v>150</v>
      </c>
      <c r="I14" s="88">
        <v>5</v>
      </c>
      <c r="J14" s="88">
        <v>1</v>
      </c>
      <c r="K14" s="86">
        <v>12</v>
      </c>
      <c r="L14" s="86">
        <v>24</v>
      </c>
      <c r="M14" s="87" t="s">
        <v>114</v>
      </c>
      <c r="N14" s="87" t="s">
        <v>114</v>
      </c>
      <c r="O14" s="86">
        <v>30</v>
      </c>
      <c r="P14" s="86">
        <v>0.95</v>
      </c>
      <c r="Q14" s="86">
        <v>0.96499999999999997</v>
      </c>
      <c r="R14" s="86">
        <v>0</v>
      </c>
      <c r="S14" s="86">
        <v>0</v>
      </c>
    </row>
    <row r="15" spans="1:20" x14ac:dyDescent="0.25">
      <c r="A15" s="73" t="str">
        <f t="shared" si="1"/>
        <v>EPEVER XTRA4210N</v>
      </c>
      <c r="B15" s="74" t="s">
        <v>259</v>
      </c>
      <c r="C15" s="74" t="s">
        <v>304</v>
      </c>
      <c r="D15" s="86">
        <v>520</v>
      </c>
      <c r="E15" s="86">
        <v>1040</v>
      </c>
      <c r="F15" s="86">
        <v>0</v>
      </c>
      <c r="G15" s="86">
        <v>0</v>
      </c>
      <c r="H15" s="86">
        <v>100</v>
      </c>
      <c r="I15" s="88">
        <v>5</v>
      </c>
      <c r="J15" s="88">
        <v>1</v>
      </c>
      <c r="K15" s="86">
        <v>12</v>
      </c>
      <c r="L15" s="86">
        <v>24</v>
      </c>
      <c r="M15" s="87" t="s">
        <v>114</v>
      </c>
      <c r="N15" s="87" t="s">
        <v>114</v>
      </c>
      <c r="O15" s="86">
        <v>40</v>
      </c>
      <c r="P15" s="86">
        <v>0.95</v>
      </c>
      <c r="Q15" s="86">
        <v>0.96499999999999997</v>
      </c>
      <c r="R15" s="86">
        <v>0</v>
      </c>
      <c r="S15" s="86">
        <v>0</v>
      </c>
    </row>
    <row r="16" spans="1:20" x14ac:dyDescent="0.25">
      <c r="A16" s="73" t="str">
        <f t="shared" si="1"/>
        <v>EPEVER XTRA4415N</v>
      </c>
      <c r="B16" s="74" t="s">
        <v>259</v>
      </c>
      <c r="C16" s="74" t="s">
        <v>306</v>
      </c>
      <c r="D16" s="86">
        <v>520</v>
      </c>
      <c r="E16" s="86">
        <v>1040</v>
      </c>
      <c r="F16" s="86">
        <v>1560</v>
      </c>
      <c r="G16" s="86">
        <v>2080</v>
      </c>
      <c r="H16" s="86">
        <v>150</v>
      </c>
      <c r="I16" s="88">
        <v>5</v>
      </c>
      <c r="J16" s="88">
        <v>1</v>
      </c>
      <c r="K16" s="86">
        <v>12</v>
      </c>
      <c r="L16" s="86">
        <v>24</v>
      </c>
      <c r="M16" s="87">
        <v>36</v>
      </c>
      <c r="N16" s="87">
        <v>48</v>
      </c>
      <c r="O16" s="86">
        <v>40</v>
      </c>
      <c r="P16" s="86">
        <v>0.95</v>
      </c>
      <c r="Q16" s="86">
        <v>0.95</v>
      </c>
      <c r="R16" s="86">
        <v>0.97</v>
      </c>
      <c r="S16" s="86">
        <v>0.97499999999999998</v>
      </c>
    </row>
    <row r="17" spans="1:26" x14ac:dyDescent="0.25">
      <c r="A17" s="73" t="str">
        <f t="shared" si="1"/>
        <v>EPEVER XTRA3415N</v>
      </c>
      <c r="B17" s="74" t="s">
        <v>259</v>
      </c>
      <c r="C17" s="74" t="s">
        <v>305</v>
      </c>
      <c r="D17" s="86">
        <v>390</v>
      </c>
      <c r="E17" s="86">
        <v>780</v>
      </c>
      <c r="F17" s="86">
        <v>1170</v>
      </c>
      <c r="G17" s="86">
        <v>1560</v>
      </c>
      <c r="H17" s="86">
        <v>150</v>
      </c>
      <c r="I17" s="88">
        <v>5</v>
      </c>
      <c r="J17" s="88">
        <v>1</v>
      </c>
      <c r="K17" s="86">
        <v>12</v>
      </c>
      <c r="L17" s="86">
        <v>24</v>
      </c>
      <c r="M17" s="87">
        <v>36</v>
      </c>
      <c r="N17" s="87">
        <v>48</v>
      </c>
      <c r="O17" s="86">
        <v>30</v>
      </c>
      <c r="P17" s="86">
        <v>0.95</v>
      </c>
      <c r="Q17" s="86">
        <v>0.95</v>
      </c>
      <c r="R17" s="86">
        <v>0.97</v>
      </c>
      <c r="S17" s="86">
        <v>0.97499999999999998</v>
      </c>
    </row>
    <row r="18" spans="1:26" x14ac:dyDescent="0.25">
      <c r="A18" s="73" t="str">
        <f t="shared" ref="A18:A19" si="2">B18&amp;" "&amp;C18</f>
        <v>EPEVER Tracer 5210 AN</v>
      </c>
      <c r="B18" s="74" t="s">
        <v>259</v>
      </c>
      <c r="C18" s="74" t="s">
        <v>383</v>
      </c>
      <c r="D18" s="86">
        <v>625</v>
      </c>
      <c r="E18" s="86">
        <v>1250</v>
      </c>
      <c r="F18" s="86">
        <v>0</v>
      </c>
      <c r="G18" s="86">
        <v>0</v>
      </c>
      <c r="H18" s="86">
        <v>100</v>
      </c>
      <c r="I18" s="88">
        <v>5</v>
      </c>
      <c r="J18" s="88">
        <v>2</v>
      </c>
      <c r="K18" s="86">
        <v>12</v>
      </c>
      <c r="L18" s="86">
        <v>24</v>
      </c>
      <c r="M18" s="87" t="s">
        <v>114</v>
      </c>
      <c r="N18" s="87" t="s">
        <v>114</v>
      </c>
      <c r="O18" s="86">
        <v>50</v>
      </c>
      <c r="P18" s="86">
        <v>0.97</v>
      </c>
      <c r="Q18" s="86">
        <v>0.97</v>
      </c>
      <c r="R18" s="86">
        <v>0.97</v>
      </c>
      <c r="S18" s="86">
        <v>0.97</v>
      </c>
    </row>
    <row r="19" spans="1:26" x14ac:dyDescent="0.25">
      <c r="A19" s="73" t="str">
        <f t="shared" si="2"/>
        <v>EPEVER Tracer 6210 AN</v>
      </c>
      <c r="B19" s="74" t="s">
        <v>259</v>
      </c>
      <c r="C19" s="74" t="s">
        <v>382</v>
      </c>
      <c r="D19" s="86">
        <v>750</v>
      </c>
      <c r="E19" s="86">
        <v>1500</v>
      </c>
      <c r="F19" s="86">
        <v>0</v>
      </c>
      <c r="G19" s="86">
        <v>0</v>
      </c>
      <c r="H19" s="86">
        <v>100</v>
      </c>
      <c r="I19" s="88">
        <v>5</v>
      </c>
      <c r="J19" s="88">
        <v>2</v>
      </c>
      <c r="K19" s="86">
        <v>12</v>
      </c>
      <c r="L19" s="86">
        <v>24</v>
      </c>
      <c r="M19" s="87" t="s">
        <v>114</v>
      </c>
      <c r="N19" s="87" t="s">
        <v>114</v>
      </c>
      <c r="O19" s="86">
        <v>60</v>
      </c>
      <c r="P19" s="86">
        <v>0.97</v>
      </c>
      <c r="Q19" s="86">
        <v>0.97</v>
      </c>
      <c r="R19" s="86">
        <v>0.97</v>
      </c>
      <c r="S19" s="86">
        <v>0.97</v>
      </c>
    </row>
    <row r="20" spans="1:26" x14ac:dyDescent="0.25">
      <c r="A20" s="73" t="str">
        <f t="shared" si="1"/>
        <v>EPEVER Tracer 5415 AN</v>
      </c>
      <c r="B20" s="74" t="s">
        <v>259</v>
      </c>
      <c r="C20" s="74" t="s">
        <v>374</v>
      </c>
      <c r="D20" s="86">
        <v>625</v>
      </c>
      <c r="E20" s="86">
        <v>1250</v>
      </c>
      <c r="F20" s="86">
        <v>1875</v>
      </c>
      <c r="G20" s="86">
        <v>2500</v>
      </c>
      <c r="H20" s="86">
        <v>150</v>
      </c>
      <c r="I20" s="88">
        <v>5</v>
      </c>
      <c r="J20" s="88">
        <v>2</v>
      </c>
      <c r="K20" s="86">
        <v>12</v>
      </c>
      <c r="L20" s="86">
        <v>24</v>
      </c>
      <c r="M20" s="87">
        <v>36</v>
      </c>
      <c r="N20" s="87">
        <v>48</v>
      </c>
      <c r="O20" s="86">
        <v>50</v>
      </c>
      <c r="P20" s="86">
        <v>0.97</v>
      </c>
      <c r="Q20" s="86">
        <v>0.97</v>
      </c>
      <c r="R20" s="86">
        <v>0.97</v>
      </c>
      <c r="S20" s="86">
        <v>0.97</v>
      </c>
    </row>
    <row r="21" spans="1:26" x14ac:dyDescent="0.25">
      <c r="A21" s="73" t="str">
        <f t="shared" si="1"/>
        <v>EPEVER Tracer 6415 AN</v>
      </c>
      <c r="B21" s="74" t="s">
        <v>259</v>
      </c>
      <c r="C21" s="74" t="s">
        <v>375</v>
      </c>
      <c r="D21" s="86">
        <v>750</v>
      </c>
      <c r="E21" s="86">
        <v>1500</v>
      </c>
      <c r="F21" s="86">
        <v>2250</v>
      </c>
      <c r="G21" s="86">
        <v>3000</v>
      </c>
      <c r="H21" s="86">
        <v>150</v>
      </c>
      <c r="I21" s="88">
        <v>5</v>
      </c>
      <c r="J21" s="88">
        <v>2</v>
      </c>
      <c r="K21" s="86">
        <v>12</v>
      </c>
      <c r="L21" s="86">
        <v>24</v>
      </c>
      <c r="M21" s="87">
        <v>36</v>
      </c>
      <c r="N21" s="87">
        <v>48</v>
      </c>
      <c r="O21" s="86">
        <v>60</v>
      </c>
      <c r="P21" s="86">
        <v>0.98</v>
      </c>
      <c r="Q21" s="86">
        <v>0.98</v>
      </c>
      <c r="R21" s="86">
        <v>0.98</v>
      </c>
      <c r="S21" s="86">
        <v>0.98</v>
      </c>
    </row>
    <row r="22" spans="1:26" x14ac:dyDescent="0.25">
      <c r="A22" s="73" t="str">
        <f t="shared" si="1"/>
        <v>EPEVER Tracer 8415 AN</v>
      </c>
      <c r="B22" s="74" t="s">
        <v>259</v>
      </c>
      <c r="C22" s="74" t="s">
        <v>376</v>
      </c>
      <c r="D22" s="86">
        <v>1000</v>
      </c>
      <c r="E22" s="86">
        <v>2000</v>
      </c>
      <c r="F22" s="86">
        <v>3000</v>
      </c>
      <c r="G22" s="86">
        <v>4000</v>
      </c>
      <c r="H22" s="86">
        <v>150</v>
      </c>
      <c r="I22" s="88">
        <v>5</v>
      </c>
      <c r="J22" s="88">
        <v>2</v>
      </c>
      <c r="K22" s="86">
        <v>12</v>
      </c>
      <c r="L22" s="86">
        <v>24</v>
      </c>
      <c r="M22" s="87">
        <v>36</v>
      </c>
      <c r="N22" s="87">
        <v>48</v>
      </c>
      <c r="O22" s="86">
        <v>80</v>
      </c>
      <c r="P22" s="86">
        <v>0.98</v>
      </c>
      <c r="Q22" s="86">
        <v>0.98</v>
      </c>
      <c r="R22" s="86">
        <v>0.98</v>
      </c>
      <c r="S22" s="86">
        <v>0.98</v>
      </c>
    </row>
    <row r="23" spans="1:26" x14ac:dyDescent="0.25">
      <c r="A23" s="73" t="str">
        <f t="shared" si="1"/>
        <v>EPEVER Tracer 10415 AN</v>
      </c>
      <c r="B23" s="74" t="s">
        <v>259</v>
      </c>
      <c r="C23" s="74" t="s">
        <v>377</v>
      </c>
      <c r="D23" s="86">
        <v>1250</v>
      </c>
      <c r="E23" s="86">
        <v>2500</v>
      </c>
      <c r="F23" s="86">
        <v>3750</v>
      </c>
      <c r="G23" s="86">
        <v>5000</v>
      </c>
      <c r="H23" s="86">
        <v>150</v>
      </c>
      <c r="I23" s="88">
        <v>5</v>
      </c>
      <c r="J23" s="88">
        <v>2</v>
      </c>
      <c r="K23" s="86">
        <v>12</v>
      </c>
      <c r="L23" s="86">
        <v>24</v>
      </c>
      <c r="M23" s="87">
        <v>36</v>
      </c>
      <c r="N23" s="87">
        <v>48</v>
      </c>
      <c r="O23" s="86">
        <v>100</v>
      </c>
      <c r="P23" s="86">
        <v>0.98</v>
      </c>
      <c r="Q23" s="86">
        <v>0.98</v>
      </c>
      <c r="R23" s="86">
        <v>0.98</v>
      </c>
      <c r="S23" s="86">
        <v>0.98</v>
      </c>
    </row>
    <row r="24" spans="1:26" x14ac:dyDescent="0.25">
      <c r="A24" s="73" t="str">
        <f t="shared" si="1"/>
        <v>EPEVER Tracer 5420 AN</v>
      </c>
      <c r="B24" s="74" t="s">
        <v>259</v>
      </c>
      <c r="C24" s="74" t="s">
        <v>378</v>
      </c>
      <c r="D24" s="86">
        <v>625</v>
      </c>
      <c r="E24" s="86">
        <v>1250</v>
      </c>
      <c r="F24" s="86">
        <v>1875</v>
      </c>
      <c r="G24" s="86">
        <v>2500</v>
      </c>
      <c r="H24" s="86">
        <v>200</v>
      </c>
      <c r="I24" s="88">
        <v>5</v>
      </c>
      <c r="J24" s="88">
        <v>2</v>
      </c>
      <c r="K24" s="86">
        <v>12</v>
      </c>
      <c r="L24" s="86">
        <v>24</v>
      </c>
      <c r="M24" s="87">
        <v>36</v>
      </c>
      <c r="N24" s="87">
        <v>48</v>
      </c>
      <c r="O24" s="86">
        <v>50</v>
      </c>
      <c r="P24" s="86">
        <v>0.97</v>
      </c>
      <c r="Q24" s="86">
        <v>0.97</v>
      </c>
      <c r="R24" s="86">
        <v>0.97</v>
      </c>
      <c r="S24" s="86">
        <v>0.97</v>
      </c>
    </row>
    <row r="25" spans="1:26" x14ac:dyDescent="0.25">
      <c r="A25" s="73" t="str">
        <f t="shared" si="1"/>
        <v>EPEVER Tracer 6420 AN</v>
      </c>
      <c r="B25" s="74" t="s">
        <v>259</v>
      </c>
      <c r="C25" s="74" t="s">
        <v>379</v>
      </c>
      <c r="D25" s="86">
        <v>750</v>
      </c>
      <c r="E25" s="86">
        <v>1500</v>
      </c>
      <c r="F25" s="86">
        <v>2250</v>
      </c>
      <c r="G25" s="86">
        <v>3000</v>
      </c>
      <c r="H25" s="86">
        <v>200</v>
      </c>
      <c r="I25" s="88">
        <v>5</v>
      </c>
      <c r="J25" s="88">
        <v>2</v>
      </c>
      <c r="K25" s="86">
        <v>12</v>
      </c>
      <c r="L25" s="86">
        <v>24</v>
      </c>
      <c r="M25" s="87">
        <v>36</v>
      </c>
      <c r="N25" s="87">
        <v>48</v>
      </c>
      <c r="O25" s="86">
        <v>60</v>
      </c>
      <c r="P25" s="86">
        <v>0.97</v>
      </c>
      <c r="Q25" s="86">
        <v>0.95</v>
      </c>
      <c r="R25" s="86">
        <v>0.97</v>
      </c>
      <c r="S25" s="86">
        <v>0.97499999999999998</v>
      </c>
    </row>
    <row r="26" spans="1:26" x14ac:dyDescent="0.25">
      <c r="A26" s="73" t="str">
        <f t="shared" si="1"/>
        <v>EPEVER Tracer 8420 AN</v>
      </c>
      <c r="B26" s="74" t="s">
        <v>259</v>
      </c>
      <c r="C26" s="74" t="s">
        <v>380</v>
      </c>
      <c r="D26" s="86">
        <v>1000</v>
      </c>
      <c r="E26" s="86">
        <v>2000</v>
      </c>
      <c r="F26" s="86">
        <v>3000</v>
      </c>
      <c r="G26" s="86">
        <v>4000</v>
      </c>
      <c r="H26" s="86">
        <v>200</v>
      </c>
      <c r="I26" s="88">
        <v>5</v>
      </c>
      <c r="J26" s="88">
        <v>2</v>
      </c>
      <c r="K26" s="86">
        <v>12</v>
      </c>
      <c r="L26" s="86">
        <v>24</v>
      </c>
      <c r="M26" s="87">
        <v>36</v>
      </c>
      <c r="N26" s="87">
        <v>48</v>
      </c>
      <c r="O26" s="86">
        <v>80</v>
      </c>
      <c r="P26" s="86">
        <v>0.97</v>
      </c>
      <c r="Q26" s="86">
        <v>0.95</v>
      </c>
      <c r="R26" s="86">
        <v>0.97</v>
      </c>
      <c r="S26" s="86">
        <v>0.97499999999999998</v>
      </c>
    </row>
    <row r="27" spans="1:26" x14ac:dyDescent="0.25">
      <c r="A27" s="73" t="str">
        <f t="shared" si="1"/>
        <v>EPEVER Tracer 10420 AN</v>
      </c>
      <c r="B27" s="74" t="s">
        <v>259</v>
      </c>
      <c r="C27" s="74" t="s">
        <v>381</v>
      </c>
      <c r="D27" s="86">
        <v>1250</v>
      </c>
      <c r="E27" s="86">
        <v>2500</v>
      </c>
      <c r="F27" s="86">
        <v>3750</v>
      </c>
      <c r="G27" s="86">
        <v>5000</v>
      </c>
      <c r="H27" s="86">
        <v>200</v>
      </c>
      <c r="I27" s="88">
        <v>5</v>
      </c>
      <c r="J27" s="88">
        <v>2</v>
      </c>
      <c r="K27" s="86">
        <v>12</v>
      </c>
      <c r="L27" s="86">
        <v>24</v>
      </c>
      <c r="M27" s="87">
        <v>36</v>
      </c>
      <c r="N27" s="87">
        <v>48</v>
      </c>
      <c r="O27" s="86">
        <v>100</v>
      </c>
      <c r="P27" s="86">
        <v>0.97</v>
      </c>
      <c r="Q27" s="86">
        <v>0.95</v>
      </c>
      <c r="R27" s="86">
        <v>0.97</v>
      </c>
      <c r="S27" s="86">
        <v>0.97499999999999998</v>
      </c>
    </row>
    <row r="28" spans="1:26" customFormat="1" ht="15.75" customHeight="1" x14ac:dyDescent="0.25">
      <c r="A28" s="73" t="str">
        <f t="shared" si="1"/>
        <v>Axpert King 48V 5000W PF1 60-115V</v>
      </c>
      <c r="B28" s="167" t="s">
        <v>370</v>
      </c>
      <c r="C28" s="168" t="s">
        <v>371</v>
      </c>
      <c r="D28" s="167">
        <v>0</v>
      </c>
      <c r="E28" s="167">
        <v>0</v>
      </c>
      <c r="F28" s="167">
        <v>0</v>
      </c>
      <c r="G28" s="167">
        <v>4000</v>
      </c>
      <c r="H28" s="167">
        <v>145</v>
      </c>
      <c r="I28" s="169">
        <v>72</v>
      </c>
      <c r="J28" s="169">
        <v>80</v>
      </c>
      <c r="K28" s="170" t="s">
        <v>114</v>
      </c>
      <c r="L28" s="170" t="s">
        <v>114</v>
      </c>
      <c r="M28" s="170" t="s">
        <v>114</v>
      </c>
      <c r="N28" s="167">
        <v>48</v>
      </c>
      <c r="O28" s="167">
        <v>80</v>
      </c>
      <c r="P28" s="167" t="s">
        <v>114</v>
      </c>
      <c r="Q28" s="167" t="s">
        <v>114</v>
      </c>
      <c r="R28" s="171" t="s">
        <v>114</v>
      </c>
      <c r="S28" s="171">
        <v>0.9</v>
      </c>
      <c r="T28" s="172"/>
      <c r="U28" s="172"/>
      <c r="V28" s="172"/>
      <c r="W28" s="172"/>
      <c r="X28" s="172"/>
      <c r="Y28" s="172"/>
      <c r="Z28" s="172"/>
    </row>
    <row r="29" spans="1:26" customFormat="1" ht="15.75" customHeight="1" x14ac:dyDescent="0.25">
      <c r="A29" s="73" t="str">
        <f t="shared" si="1"/>
        <v>Axpert VM III 48V 5000W PF1 120-450V</v>
      </c>
      <c r="B29" s="167" t="s">
        <v>370</v>
      </c>
      <c r="C29" s="168" t="s">
        <v>372</v>
      </c>
      <c r="D29" s="167">
        <v>0</v>
      </c>
      <c r="E29" s="167">
        <v>0</v>
      </c>
      <c r="F29" s="167">
        <v>0</v>
      </c>
      <c r="G29" s="167">
        <v>5000</v>
      </c>
      <c r="H29" s="167">
        <v>450</v>
      </c>
      <c r="I29" s="169">
        <v>72</v>
      </c>
      <c r="J29" s="169">
        <v>80</v>
      </c>
      <c r="K29" s="170" t="s">
        <v>114</v>
      </c>
      <c r="L29" s="170" t="s">
        <v>114</v>
      </c>
      <c r="M29" s="170" t="s">
        <v>114</v>
      </c>
      <c r="N29" s="167">
        <v>48</v>
      </c>
      <c r="O29" s="167">
        <v>100</v>
      </c>
      <c r="P29" s="167" t="s">
        <v>114</v>
      </c>
      <c r="Q29" s="167" t="s">
        <v>114</v>
      </c>
      <c r="R29" s="171" t="s">
        <v>114</v>
      </c>
      <c r="S29" s="171">
        <v>0.93</v>
      </c>
      <c r="T29" s="172"/>
      <c r="U29" s="172"/>
      <c r="V29" s="172"/>
      <c r="W29" s="172"/>
      <c r="X29" s="172"/>
      <c r="Y29" s="172"/>
      <c r="Z29" s="172"/>
    </row>
    <row r="30" spans="1:26" customFormat="1" ht="15.75" customHeight="1" x14ac:dyDescent="0.25">
      <c r="A30" s="73" t="str">
        <f t="shared" si="1"/>
        <v>Axpert KING 48V 5000W 60-115V</v>
      </c>
      <c r="B30" s="167" t="s">
        <v>370</v>
      </c>
      <c r="C30" s="168" t="s">
        <v>373</v>
      </c>
      <c r="D30" s="167">
        <v>0</v>
      </c>
      <c r="E30" s="167">
        <v>0</v>
      </c>
      <c r="F30" s="167">
        <v>0</v>
      </c>
      <c r="G30" s="167">
        <v>3000</v>
      </c>
      <c r="H30" s="167">
        <v>145</v>
      </c>
      <c r="I30" s="169">
        <v>72</v>
      </c>
      <c r="J30" s="169">
        <v>80</v>
      </c>
      <c r="K30" s="170" t="s">
        <v>114</v>
      </c>
      <c r="L30" s="170" t="s">
        <v>114</v>
      </c>
      <c r="M30" s="170" t="s">
        <v>114</v>
      </c>
      <c r="N30" s="167">
        <v>48</v>
      </c>
      <c r="O30" s="167">
        <v>60</v>
      </c>
      <c r="P30" s="167" t="s">
        <v>114</v>
      </c>
      <c r="Q30" s="167" t="s">
        <v>114</v>
      </c>
      <c r="R30" s="171" t="s">
        <v>114</v>
      </c>
      <c r="S30" s="171">
        <v>0.93</v>
      </c>
      <c r="T30" s="172"/>
      <c r="U30" s="172"/>
      <c r="V30" s="172"/>
      <c r="W30" s="172"/>
      <c r="X30" s="172"/>
      <c r="Y30" s="172"/>
      <c r="Z30" s="172"/>
    </row>
  </sheetData>
  <sheetProtection selectLockedCells="1" selectUnlockedCells="1"/>
  <mergeCells count="1">
    <mergeCell ref="K1:N1"/>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L46"/>
  <sheetViews>
    <sheetView zoomScale="85" zoomScaleNormal="85" workbookViewId="0">
      <selection activeCell="E39" sqref="E39"/>
    </sheetView>
  </sheetViews>
  <sheetFormatPr defaultColWidth="9.140625" defaultRowHeight="15" x14ac:dyDescent="0.25"/>
  <cols>
    <col min="1" max="10" width="20" customWidth="1"/>
  </cols>
  <sheetData>
    <row r="1" spans="1:3" s="2" customFormat="1" ht="2.25" customHeight="1" x14ac:dyDescent="0.25"/>
    <row r="2" spans="1:3" s="1" customFormat="1" x14ac:dyDescent="0.25">
      <c r="A2" s="1" t="s">
        <v>27</v>
      </c>
    </row>
    <row r="3" spans="1:3" s="3" customFormat="1" ht="7.5" customHeight="1" x14ac:dyDescent="0.25"/>
    <row r="4" spans="1:3" s="27" customFormat="1" x14ac:dyDescent="0.25">
      <c r="A4" s="27" t="s">
        <v>47</v>
      </c>
      <c r="B4" s="28">
        <f>Form!E10</f>
        <v>-15</v>
      </c>
      <c r="C4" s="27" t="s">
        <v>17</v>
      </c>
    </row>
    <row r="5" spans="1:3" s="27" customFormat="1" x14ac:dyDescent="0.25">
      <c r="B5" s="28">
        <f>Form!G10</f>
        <v>70</v>
      </c>
      <c r="C5" s="27" t="s">
        <v>18</v>
      </c>
    </row>
    <row r="6" spans="1:3" s="3" customFormat="1" ht="7.5" customHeight="1" x14ac:dyDescent="0.25">
      <c r="B6" s="65"/>
    </row>
    <row r="7" spans="1:3" s="27" customFormat="1" x14ac:dyDescent="0.25">
      <c r="A7" s="27" t="s">
        <v>84</v>
      </c>
      <c r="B7" s="29">
        <f>INDEX(Modules!B3:J29,Form!D4,6)*Form!D6</f>
        <v>73.400000000000006</v>
      </c>
      <c r="C7" s="27" t="s">
        <v>64</v>
      </c>
    </row>
    <row r="8" spans="1:3" s="27" customFormat="1" x14ac:dyDescent="0.25">
      <c r="B8" s="29">
        <f>INDEX(Modules!B3:J29,Form!D4,4)*Form!D6</f>
        <v>58.8</v>
      </c>
      <c r="C8" s="27" t="s">
        <v>65</v>
      </c>
    </row>
    <row r="9" spans="1:3" s="27" customFormat="1" x14ac:dyDescent="0.25">
      <c r="B9" s="30">
        <f>INDEX(Modules!B3:J29,Form!D4,7)*Form!G6</f>
        <v>41.25</v>
      </c>
      <c r="C9" s="27" t="s">
        <v>39</v>
      </c>
    </row>
    <row r="10" spans="1:3" s="27" customFormat="1" x14ac:dyDescent="0.25">
      <c r="B10" s="30">
        <f>INDEX(Modules!B3:J29,Form!D4,5)*Form!G6</f>
        <v>38.25</v>
      </c>
      <c r="C10" s="27" t="s">
        <v>40</v>
      </c>
    </row>
    <row r="11" spans="1:3" s="27" customFormat="1" x14ac:dyDescent="0.25">
      <c r="B11" s="45">
        <f>$B$10*$B$8/D18</f>
        <v>93.712499999999991</v>
      </c>
      <c r="C11" s="46" t="s">
        <v>38</v>
      </c>
    </row>
    <row r="12" spans="1:3" s="27" customFormat="1" x14ac:dyDescent="0.25">
      <c r="B12" s="31">
        <f>INDEX(Modules!B3:J29,Form!D4,8)</f>
        <v>-0.27</v>
      </c>
      <c r="C12" s="27" t="s">
        <v>66</v>
      </c>
    </row>
    <row r="13" spans="1:3" s="27" customFormat="1" x14ac:dyDescent="0.25">
      <c r="B13" s="32">
        <f>(B7/100)*B12</f>
        <v>-0.19818000000000005</v>
      </c>
      <c r="C13" s="27" t="s">
        <v>67</v>
      </c>
    </row>
    <row r="14" spans="1:3" s="27" customFormat="1" x14ac:dyDescent="0.25">
      <c r="B14" s="31">
        <f>INDEX(Modules!B3:J29,Form!D4,9)</f>
        <v>0.05</v>
      </c>
      <c r="C14" s="27" t="s">
        <v>24</v>
      </c>
    </row>
    <row r="15" spans="1:3" s="27" customFormat="1" x14ac:dyDescent="0.25">
      <c r="B15" s="33">
        <f>B9*(B14/100)</f>
        <v>2.0625000000000001E-2</v>
      </c>
      <c r="C15" s="27" t="s">
        <v>25</v>
      </c>
    </row>
    <row r="16" spans="1:3" s="3" customFormat="1" ht="7.5" customHeight="1" x14ac:dyDescent="0.25"/>
    <row r="17" spans="1:10" s="27" customFormat="1" x14ac:dyDescent="0.25">
      <c r="A17" s="27" t="s">
        <v>52</v>
      </c>
      <c r="B17" s="29">
        <f>INDEX(Regulator!$B$2:$H$38,Form!$C$12,7)</f>
        <v>200</v>
      </c>
      <c r="C17" s="27" t="s">
        <v>68</v>
      </c>
      <c r="D17" s="34">
        <f>INDEX(Regulator!B2:O38,Form!$C$12,14)</f>
        <v>80</v>
      </c>
      <c r="E17" s="27" t="s">
        <v>23</v>
      </c>
    </row>
    <row r="18" spans="1:10" s="27" customFormat="1" x14ac:dyDescent="0.25">
      <c r="A18" s="35">
        <f>B18-D18</f>
        <v>5</v>
      </c>
      <c r="B18" s="29">
        <f>INDEX(Regulator!B2:J38,Form!C12,8)+D18</f>
        <v>29</v>
      </c>
      <c r="C18" s="27" t="s">
        <v>69</v>
      </c>
      <c r="D18" s="35">
        <f>IF(INDEX(Form!$J$11:$J$14,Form!$E$14,1)="N.A.",0,INDEX(Form!$J$11:$J$14,Form!$E$14,1))</f>
        <v>24</v>
      </c>
      <c r="E18" s="27" t="s">
        <v>19</v>
      </c>
      <c r="F18" s="36">
        <f>IF(D18=12,15,IF(D18=24,16,IF(D18=36,17,18)))</f>
        <v>16</v>
      </c>
      <c r="G18" s="36"/>
    </row>
    <row r="19" spans="1:10" s="27" customFormat="1" x14ac:dyDescent="0.25">
      <c r="B19" s="29">
        <f>INDEX(Regulator!$B$2:$J$50,Form!$E$14,9)+D18+A18</f>
        <v>30</v>
      </c>
      <c r="C19" s="27" t="s">
        <v>70</v>
      </c>
      <c r="D19" s="27">
        <f>INDEX(Regulator!B2:S38,Form!$C$12,F18)</f>
        <v>0.95</v>
      </c>
      <c r="E19" s="27" t="s">
        <v>33</v>
      </c>
    </row>
    <row r="20" spans="1:10" s="90" customFormat="1" ht="7.5" customHeight="1" x14ac:dyDescent="0.25">
      <c r="B20" s="91"/>
    </row>
    <row r="21" spans="1:10" s="27" customFormat="1" x14ac:dyDescent="0.25">
      <c r="A21" s="27" t="s">
        <v>189</v>
      </c>
      <c r="B21" s="94">
        <v>1.78E-2</v>
      </c>
      <c r="C21" s="27" t="s">
        <v>191</v>
      </c>
    </row>
    <row r="22" spans="1:10" s="27" customFormat="1" x14ac:dyDescent="0.25">
      <c r="B22" s="95">
        <f>((Form!E16+Form!E16)*B21)/Form!G16</f>
        <v>8.3066666666666664E-2</v>
      </c>
      <c r="C22" s="27" t="s">
        <v>194</v>
      </c>
    </row>
    <row r="23" spans="1:10" s="3" customFormat="1" ht="7.5" customHeight="1" x14ac:dyDescent="0.25">
      <c r="A23" s="90"/>
      <c r="B23" s="4"/>
    </row>
    <row r="24" spans="1:10" s="2" customFormat="1" ht="2.25" customHeight="1" x14ac:dyDescent="0.25"/>
    <row r="25" spans="1:10" s="1" customFormat="1" ht="15" customHeight="1" x14ac:dyDescent="0.25">
      <c r="A25" s="1" t="s">
        <v>26</v>
      </c>
    </row>
    <row r="26" spans="1:10" s="3" customFormat="1" ht="13.9" customHeight="1" x14ac:dyDescent="0.25">
      <c r="F26" s="141" t="s">
        <v>260</v>
      </c>
      <c r="I26" s="141" t="s">
        <v>260</v>
      </c>
    </row>
    <row r="27" spans="1:10" s="38" customFormat="1" x14ac:dyDescent="0.25">
      <c r="A27" s="38" t="s">
        <v>16</v>
      </c>
      <c r="B27" s="38" t="s">
        <v>71</v>
      </c>
      <c r="C27" s="38" t="s">
        <v>76</v>
      </c>
      <c r="D27" s="38" t="s">
        <v>77</v>
      </c>
      <c r="E27" s="38" t="s">
        <v>78</v>
      </c>
      <c r="F27" s="96" t="s">
        <v>79</v>
      </c>
      <c r="G27" s="38" t="s">
        <v>192</v>
      </c>
      <c r="H27" s="38" t="s">
        <v>80</v>
      </c>
      <c r="I27" s="96" t="s">
        <v>81</v>
      </c>
      <c r="J27" s="38" t="s">
        <v>193</v>
      </c>
    </row>
    <row r="28" spans="1:10" s="38" customFormat="1" x14ac:dyDescent="0.25">
      <c r="A28" s="39">
        <f>B4</f>
        <v>-15</v>
      </c>
      <c r="B28" s="40">
        <f>$B$17</f>
        <v>200</v>
      </c>
      <c r="C28" s="40">
        <f>$B$18</f>
        <v>29</v>
      </c>
      <c r="D28" s="40">
        <f>$B$19</f>
        <v>30</v>
      </c>
      <c r="E28" s="40">
        <f>$B$7+($B$13*-(25-A28))</f>
        <v>81.327200000000005</v>
      </c>
      <c r="F28" s="97">
        <f>$B$8+($B$13*-(25-A28))</f>
        <v>66.727199999999996</v>
      </c>
      <c r="G28" s="41">
        <f>($B$8+($B$13*-(25-A28))-($B$22*E38))</f>
        <v>60.081866666666663</v>
      </c>
      <c r="I28" s="96"/>
    </row>
    <row r="29" spans="1:10" s="38" customFormat="1" x14ac:dyDescent="0.25">
      <c r="A29" s="38">
        <f>A28+5</f>
        <v>-10</v>
      </c>
      <c r="B29" s="40">
        <f t="shared" ref="B29:B35" si="0">$B$17</f>
        <v>200</v>
      </c>
      <c r="C29" s="40">
        <f t="shared" ref="C29:C35" si="1">$B$18</f>
        <v>29</v>
      </c>
      <c r="D29" s="40">
        <f t="shared" ref="D29:D35" si="2">$B$19</f>
        <v>30</v>
      </c>
      <c r="E29" s="40">
        <f>$B$7+($B$13*-(25-A29))</f>
        <v>80.336300000000008</v>
      </c>
      <c r="F29" s="97">
        <f>$B$8+($B$13*-(25-A29))</f>
        <v>65.7363</v>
      </c>
      <c r="G29" s="41">
        <f>($B$8+($B$13*-(25-A29))-($B$22*E39))</f>
        <v>59.090966666666667</v>
      </c>
      <c r="I29" s="96"/>
    </row>
    <row r="30" spans="1:10" s="38" customFormat="1" x14ac:dyDescent="0.25">
      <c r="A30" s="38">
        <f>A29+5</f>
        <v>-5</v>
      </c>
      <c r="B30" s="40">
        <f t="shared" si="0"/>
        <v>200</v>
      </c>
      <c r="C30" s="40">
        <f t="shared" si="1"/>
        <v>29</v>
      </c>
      <c r="D30" s="40">
        <f t="shared" si="2"/>
        <v>30</v>
      </c>
      <c r="E30" s="40">
        <f>$B$7+($B$13*-(25-A30))</f>
        <v>79.345400000000012</v>
      </c>
      <c r="F30" s="97">
        <f>$B$8+($B$13*-(25-A30))</f>
        <v>64.745400000000004</v>
      </c>
      <c r="G30" s="41">
        <f>($B$8+($B$13*-(25-A30))-($B$22*E40))</f>
        <v>58.10006666666667</v>
      </c>
      <c r="I30" s="96"/>
    </row>
    <row r="31" spans="1:10" s="38" customFormat="1" x14ac:dyDescent="0.25">
      <c r="A31" s="38">
        <f>A30+5</f>
        <v>0</v>
      </c>
      <c r="B31" s="40">
        <f t="shared" si="0"/>
        <v>200</v>
      </c>
      <c r="C31" s="40">
        <f t="shared" si="1"/>
        <v>29</v>
      </c>
      <c r="D31" s="40">
        <f t="shared" si="2"/>
        <v>30</v>
      </c>
      <c r="E31" s="40">
        <f>$B$7+($B$13*-(25-A31))</f>
        <v>78.354500000000002</v>
      </c>
      <c r="F31" s="97">
        <f>$B$8+($B$13*-(25-A31))</f>
        <v>63.7545</v>
      </c>
      <c r="G31" s="41">
        <f>($B$8+($B$13*-(25-A31))-($B$22*E41))</f>
        <v>57.109166666666667</v>
      </c>
      <c r="I31" s="96"/>
    </row>
    <row r="32" spans="1:10" s="38" customFormat="1" x14ac:dyDescent="0.25">
      <c r="A32" s="38">
        <f>A33-5</f>
        <v>55</v>
      </c>
      <c r="B32" s="40">
        <f t="shared" si="0"/>
        <v>200</v>
      </c>
      <c r="C32" s="40">
        <f t="shared" si="1"/>
        <v>29</v>
      </c>
      <c r="D32" s="40">
        <f>$B$19</f>
        <v>30</v>
      </c>
      <c r="E32" s="41"/>
      <c r="F32" s="97">
        <f t="shared" ref="F32:F35" si="3">$B$8+($B$13*-(25-A32))</f>
        <v>52.854599999999998</v>
      </c>
      <c r="H32" s="40">
        <f>$B$7+($B$13*-(25-A32))</f>
        <v>67.454599999999999</v>
      </c>
      <c r="I32" s="97">
        <f>$B$8+($B$13*-(25-A32))</f>
        <v>52.854599999999998</v>
      </c>
      <c r="J32" s="40">
        <f>$B$8+($B$13*-(25-A32))-($B$22*F42)</f>
        <v>46.209266666666664</v>
      </c>
    </row>
    <row r="33" spans="1:12" s="38" customFormat="1" x14ac:dyDescent="0.25">
      <c r="A33" s="38">
        <f>A34-5</f>
        <v>60</v>
      </c>
      <c r="B33" s="40">
        <f t="shared" si="0"/>
        <v>200</v>
      </c>
      <c r="C33" s="40">
        <f t="shared" si="1"/>
        <v>29</v>
      </c>
      <c r="D33" s="40">
        <f t="shared" si="2"/>
        <v>30</v>
      </c>
      <c r="E33" s="41"/>
      <c r="F33" s="97">
        <f t="shared" si="3"/>
        <v>51.863699999999994</v>
      </c>
      <c r="H33" s="40">
        <f>$B$7+($B$13*-(25-A33))</f>
        <v>66.463700000000003</v>
      </c>
      <c r="I33" s="97">
        <f>$B$8+($B$13*-(25-A33))</f>
        <v>51.863699999999994</v>
      </c>
      <c r="J33" s="40">
        <f>$B$8+($B$13*-(25-A33))-($B$22*F43)</f>
        <v>45.218366666666661</v>
      </c>
    </row>
    <row r="34" spans="1:12" s="38" customFormat="1" x14ac:dyDescent="0.25">
      <c r="A34" s="38">
        <f>A35-5</f>
        <v>65</v>
      </c>
      <c r="B34" s="40">
        <f t="shared" si="0"/>
        <v>200</v>
      </c>
      <c r="C34" s="40">
        <f t="shared" si="1"/>
        <v>29</v>
      </c>
      <c r="D34" s="40">
        <f t="shared" si="2"/>
        <v>30</v>
      </c>
      <c r="E34" s="41"/>
      <c r="F34" s="97">
        <f t="shared" si="3"/>
        <v>50.872799999999998</v>
      </c>
      <c r="H34" s="40">
        <f>$B$7+($B$13*-(25-A34))</f>
        <v>65.472800000000007</v>
      </c>
      <c r="I34" s="97">
        <f>$B$8+($B$13*-(25-A34))</f>
        <v>50.872799999999998</v>
      </c>
      <c r="J34" s="40">
        <f>$B$8+($B$13*-(25-A34))-($B$22*F44)</f>
        <v>44.336623441550003</v>
      </c>
    </row>
    <row r="35" spans="1:12" s="38" customFormat="1" x14ac:dyDescent="0.25">
      <c r="A35" s="39">
        <f>B5</f>
        <v>70</v>
      </c>
      <c r="B35" s="40">
        <f t="shared" si="0"/>
        <v>200</v>
      </c>
      <c r="C35" s="40">
        <f t="shared" si="1"/>
        <v>29</v>
      </c>
      <c r="D35" s="40">
        <f t="shared" si="2"/>
        <v>30</v>
      </c>
      <c r="E35" s="41"/>
      <c r="F35" s="97">
        <f t="shared" si="3"/>
        <v>49.881899999999995</v>
      </c>
      <c r="H35" s="40">
        <f>$B$7+($B$13*-(25-A35))</f>
        <v>64.481899999999996</v>
      </c>
      <c r="I35" s="97">
        <f>$B$8+($B$13*-(25-A35))</f>
        <v>49.881899999999995</v>
      </c>
      <c r="J35" s="40">
        <f>$B$8+($B$13*-(25-A35))-($B$22*F45)</f>
        <v>43.456121046344528</v>
      </c>
      <c r="K35" s="39"/>
      <c r="L35" s="39"/>
    </row>
    <row r="36" spans="1:12" s="37" customFormat="1" ht="7.5" customHeight="1" x14ac:dyDescent="0.25"/>
    <row r="37" spans="1:12" s="38" customFormat="1" x14ac:dyDescent="0.25">
      <c r="A37" s="38" t="s">
        <v>16</v>
      </c>
      <c r="B37" s="38" t="s">
        <v>83</v>
      </c>
      <c r="C37" s="38" t="s">
        <v>82</v>
      </c>
      <c r="D37" s="38" t="s">
        <v>21</v>
      </c>
      <c r="E37" s="38" t="s">
        <v>88</v>
      </c>
      <c r="F37" s="38" t="s">
        <v>89</v>
      </c>
      <c r="G37" s="38" t="s">
        <v>271</v>
      </c>
    </row>
    <row r="38" spans="1:12" s="38" customFormat="1" x14ac:dyDescent="0.25">
      <c r="A38" s="39">
        <f>B4</f>
        <v>-15</v>
      </c>
      <c r="B38" s="42">
        <f>$D$17</f>
        <v>80</v>
      </c>
      <c r="C38" s="43">
        <f>$B$10+($B$15*-(25-A38))</f>
        <v>37.424999999999997</v>
      </c>
      <c r="D38" s="44">
        <f>$D$18</f>
        <v>24</v>
      </c>
      <c r="E38" s="43">
        <f>IF((((C38*F28)/D38)*$D$19)&gt;$D$17,$D$17,(((C38*F28)/D38)*$D$19))</f>
        <v>80</v>
      </c>
      <c r="G38" s="41">
        <f>C38*F28/D38*$D$19</f>
        <v>98.850091124999992</v>
      </c>
    </row>
    <row r="39" spans="1:12" s="38" customFormat="1" x14ac:dyDescent="0.25">
      <c r="A39" s="38">
        <f>A38+5</f>
        <v>-10</v>
      </c>
      <c r="B39" s="42">
        <f t="shared" ref="B39:B45" si="4">$D$17</f>
        <v>80</v>
      </c>
      <c r="C39" s="43">
        <f t="shared" ref="C39:C45" si="5">$B$10+($B$15*-(25-A39))</f>
        <v>37.528125000000003</v>
      </c>
      <c r="D39" s="44">
        <f t="shared" ref="D39:D45" si="6">$D$18</f>
        <v>24</v>
      </c>
      <c r="E39" s="43">
        <f>IF((((C39*F29)/D39)*$D$19)&gt;$D$17,$D$17,(((C39*F29)/D39)*$D$19))</f>
        <v>80</v>
      </c>
      <c r="G39" s="41">
        <f>C39*F29/D39*$D$19</f>
        <v>97.650503302734379</v>
      </c>
    </row>
    <row r="40" spans="1:12" s="38" customFormat="1" x14ac:dyDescent="0.25">
      <c r="A40" s="38">
        <f>A39+5</f>
        <v>-5</v>
      </c>
      <c r="B40" s="42">
        <f t="shared" si="4"/>
        <v>80</v>
      </c>
      <c r="C40" s="43">
        <f t="shared" si="5"/>
        <v>37.631250000000001</v>
      </c>
      <c r="D40" s="44">
        <f t="shared" si="6"/>
        <v>24</v>
      </c>
      <c r="E40" s="43">
        <f>IF((((C40*F30)/D40)*$D$19)&gt;$D$17,$D$17,(((C40*F30)/D40)*$D$19))</f>
        <v>80</v>
      </c>
      <c r="G40" s="41">
        <f>C40*F30/D40*$D$19</f>
        <v>96.442825710937498</v>
      </c>
    </row>
    <row r="41" spans="1:12" s="38" customFormat="1" x14ac:dyDescent="0.25">
      <c r="A41" s="38">
        <f>A40+5</f>
        <v>0</v>
      </c>
      <c r="B41" s="42">
        <f t="shared" si="4"/>
        <v>80</v>
      </c>
      <c r="C41" s="43">
        <f>$B$10+($B$15*-(25-A41))</f>
        <v>37.734375</v>
      </c>
      <c r="D41" s="44">
        <f t="shared" si="6"/>
        <v>24</v>
      </c>
      <c r="E41" s="43">
        <f>IF((((C41*F31)/D41)*$D$19)&gt;$D$17,$D$17,(((C41*F31)/D41)*$D$19))</f>
        <v>80</v>
      </c>
      <c r="G41" s="41">
        <f>C41*F31/D41*$D$19</f>
        <v>95.227058349609365</v>
      </c>
    </row>
    <row r="42" spans="1:12" s="38" customFormat="1" x14ac:dyDescent="0.25">
      <c r="A42" s="38">
        <f>A43-5</f>
        <v>55</v>
      </c>
      <c r="B42" s="42">
        <f t="shared" si="4"/>
        <v>80</v>
      </c>
      <c r="C42" s="43">
        <f t="shared" si="5"/>
        <v>38.868749999999999</v>
      </c>
      <c r="D42" s="44">
        <f t="shared" si="6"/>
        <v>24</v>
      </c>
      <c r="F42" s="43">
        <f>IF(((C42*I32)/D42*$D$19)&gt;$D$17,$D$17,((C42*I32)/D42*$D$19))</f>
        <v>80</v>
      </c>
      <c r="G42" s="41">
        <f t="shared" ref="G42:G45" si="7">C42*F32/D42*$D$19</f>
        <v>81.319692585937489</v>
      </c>
    </row>
    <row r="43" spans="1:12" s="38" customFormat="1" x14ac:dyDescent="0.25">
      <c r="A43" s="38">
        <f>A44-5</f>
        <v>60</v>
      </c>
      <c r="B43" s="42">
        <f t="shared" si="4"/>
        <v>80</v>
      </c>
      <c r="C43" s="43">
        <f t="shared" si="5"/>
        <v>38.971874999999997</v>
      </c>
      <c r="D43" s="44">
        <f t="shared" si="6"/>
        <v>24</v>
      </c>
      <c r="F43" s="43">
        <f>IF(((C43*I33)/D43*$D$19)&gt;$D$17,$D$17,((C43*I33)/D43*$D$19))</f>
        <v>80</v>
      </c>
      <c r="G43" s="41">
        <f t="shared" si="7"/>
        <v>80.006847990234348</v>
      </c>
    </row>
    <row r="44" spans="1:12" s="38" customFormat="1" x14ac:dyDescent="0.25">
      <c r="A44" s="38">
        <f>A45-5</f>
        <v>65</v>
      </c>
      <c r="B44" s="42">
        <f t="shared" si="4"/>
        <v>80</v>
      </c>
      <c r="C44" s="43">
        <f t="shared" si="5"/>
        <v>39.075000000000003</v>
      </c>
      <c r="D44" s="44">
        <f t="shared" si="6"/>
        <v>24</v>
      </c>
      <c r="F44" s="43">
        <f>IF(((C44*I34)/D44*$D$19)&gt;$D$17,$D$17,((C44*I34)/D44*$D$19))</f>
        <v>78.685913624999984</v>
      </c>
      <c r="G44" s="41">
        <f t="shared" si="7"/>
        <v>78.685913624999984</v>
      </c>
    </row>
    <row r="45" spans="1:12" s="38" customFormat="1" x14ac:dyDescent="0.25">
      <c r="A45" s="39">
        <f>B5</f>
        <v>70</v>
      </c>
      <c r="B45" s="42">
        <f t="shared" si="4"/>
        <v>80</v>
      </c>
      <c r="C45" s="43">
        <f t="shared" si="5"/>
        <v>39.178125000000001</v>
      </c>
      <c r="D45" s="44">
        <f t="shared" si="6"/>
        <v>24</v>
      </c>
      <c r="F45" s="43">
        <f>IF(((C45*I35)/D45*$D$19)&gt;$D$17,$D$17,((C45*I35)/D45*$D$19))</f>
        <v>77.356889490234366</v>
      </c>
      <c r="G45" s="41">
        <f t="shared" si="7"/>
        <v>77.356889490234366</v>
      </c>
    </row>
    <row r="46" spans="1:12" s="3" customFormat="1" x14ac:dyDescent="0.25"/>
  </sheetData>
  <sheetProtection selectLockedCells="1" selectUnlockedCells="1"/>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F41"/>
  <sheetViews>
    <sheetView workbookViewId="0">
      <selection activeCell="C17" sqref="C17"/>
    </sheetView>
  </sheetViews>
  <sheetFormatPr defaultColWidth="9.140625" defaultRowHeight="12" x14ac:dyDescent="0.2"/>
  <cols>
    <col min="1" max="1" width="4.7109375" style="107" bestFit="1" customWidth="1"/>
    <col min="2" max="2" width="51.5703125" style="109" bestFit="1" customWidth="1"/>
    <col min="3" max="3" width="51.42578125" style="109" bestFit="1" customWidth="1"/>
    <col min="4" max="4" width="61.85546875" style="109" bestFit="1" customWidth="1"/>
    <col min="5" max="5" width="49" style="109" bestFit="1" customWidth="1"/>
    <col min="6" max="6" width="55" style="109" bestFit="1" customWidth="1"/>
    <col min="7" max="16384" width="9.140625" style="109"/>
  </cols>
  <sheetData>
    <row r="1" spans="1:6" x14ac:dyDescent="0.2">
      <c r="B1" s="108" t="str">
        <f>IF(Form!H3=5,"V"," ")</f>
        <v xml:space="preserve"> </v>
      </c>
      <c r="C1" s="108" t="str">
        <f>IF(Form!H3=4,"V"," ")</f>
        <v>V</v>
      </c>
      <c r="D1" s="108" t="str">
        <f>IF(Form!H3=3,"V"," ")</f>
        <v xml:space="preserve"> </v>
      </c>
      <c r="E1" s="108" t="str">
        <f>IF(Form!H3=2,"V"," ")</f>
        <v xml:space="preserve"> </v>
      </c>
      <c r="F1" s="108" t="str">
        <f>IF(Form!H3=1,"V"," ")</f>
        <v xml:space="preserve"> </v>
      </c>
    </row>
    <row r="2" spans="1:6" x14ac:dyDescent="0.2">
      <c r="A2" s="110" t="s">
        <v>91</v>
      </c>
      <c r="B2" s="110" t="s">
        <v>90</v>
      </c>
      <c r="C2" s="110" t="s">
        <v>368</v>
      </c>
      <c r="D2" s="110" t="s">
        <v>92</v>
      </c>
      <c r="E2" s="110" t="s">
        <v>93</v>
      </c>
      <c r="F2" s="110" t="s">
        <v>95</v>
      </c>
    </row>
    <row r="3" spans="1:6" ht="7.5" customHeight="1" x14ac:dyDescent="0.2"/>
    <row r="4" spans="1:6" x14ac:dyDescent="0.2">
      <c r="A4" s="111">
        <v>1</v>
      </c>
      <c r="B4" s="112" t="s">
        <v>74</v>
      </c>
      <c r="C4" s="112" t="s">
        <v>333</v>
      </c>
      <c r="D4" s="112" t="s">
        <v>123</v>
      </c>
      <c r="E4" s="112" t="s">
        <v>94</v>
      </c>
      <c r="F4" s="112" t="s">
        <v>174</v>
      </c>
    </row>
    <row r="5" spans="1:6" x14ac:dyDescent="0.2">
      <c r="A5" s="111">
        <v>2</v>
      </c>
      <c r="B5" s="112" t="s">
        <v>48</v>
      </c>
      <c r="C5" s="112" t="s">
        <v>334</v>
      </c>
      <c r="D5" s="112" t="s">
        <v>245</v>
      </c>
      <c r="E5" s="112" t="s">
        <v>97</v>
      </c>
      <c r="F5" s="112" t="s">
        <v>98</v>
      </c>
    </row>
    <row r="6" spans="1:6" x14ac:dyDescent="0.2">
      <c r="A6" s="111">
        <v>3</v>
      </c>
      <c r="B6" s="112" t="s">
        <v>49</v>
      </c>
      <c r="C6" s="112" t="s">
        <v>335</v>
      </c>
      <c r="D6" s="112" t="s">
        <v>124</v>
      </c>
      <c r="E6" s="112" t="s">
        <v>49</v>
      </c>
      <c r="F6" s="112" t="s">
        <v>165</v>
      </c>
    </row>
    <row r="7" spans="1:6" x14ac:dyDescent="0.2">
      <c r="A7" s="111">
        <v>4</v>
      </c>
      <c r="B7" s="112" t="s">
        <v>22</v>
      </c>
      <c r="C7" s="112" t="s">
        <v>336</v>
      </c>
      <c r="D7" s="112" t="s">
        <v>125</v>
      </c>
      <c r="E7" s="112" t="s">
        <v>103</v>
      </c>
      <c r="F7" s="112" t="s">
        <v>101</v>
      </c>
    </row>
    <row r="8" spans="1:6" x14ac:dyDescent="0.2">
      <c r="A8" s="111">
        <v>5</v>
      </c>
      <c r="B8" s="112" t="s">
        <v>99</v>
      </c>
      <c r="C8" s="112" t="s">
        <v>99</v>
      </c>
      <c r="D8" s="112" t="s">
        <v>99</v>
      </c>
      <c r="E8" s="112" t="s">
        <v>99</v>
      </c>
      <c r="F8" s="112" t="s">
        <v>100</v>
      </c>
    </row>
    <row r="9" spans="1:6" x14ac:dyDescent="0.2">
      <c r="A9" s="111">
        <v>6</v>
      </c>
      <c r="B9" s="112" t="s">
        <v>179</v>
      </c>
      <c r="C9" s="112" t="s">
        <v>337</v>
      </c>
      <c r="D9" s="112" t="s">
        <v>126</v>
      </c>
      <c r="E9" s="112" t="s">
        <v>178</v>
      </c>
      <c r="F9" s="112" t="s">
        <v>175</v>
      </c>
    </row>
    <row r="10" spans="1:6" x14ac:dyDescent="0.2">
      <c r="A10" s="111">
        <v>7</v>
      </c>
      <c r="B10" s="112" t="s">
        <v>10</v>
      </c>
      <c r="C10" s="112" t="s">
        <v>10</v>
      </c>
      <c r="D10" s="112" t="s">
        <v>10</v>
      </c>
      <c r="E10" s="112" t="s">
        <v>10</v>
      </c>
      <c r="F10" s="112" t="s">
        <v>10</v>
      </c>
    </row>
    <row r="11" spans="1:6" x14ac:dyDescent="0.2">
      <c r="A11" s="111">
        <v>8</v>
      </c>
      <c r="B11" s="112" t="s">
        <v>11</v>
      </c>
      <c r="C11" s="112" t="s">
        <v>102</v>
      </c>
      <c r="D11" s="112" t="s">
        <v>102</v>
      </c>
      <c r="E11" s="112" t="s">
        <v>102</v>
      </c>
      <c r="F11" s="112" t="s">
        <v>102</v>
      </c>
    </row>
    <row r="12" spans="1:6" x14ac:dyDescent="0.2">
      <c r="A12" s="111">
        <v>9</v>
      </c>
      <c r="B12" s="112" t="s">
        <v>87</v>
      </c>
      <c r="C12" s="112" t="s">
        <v>338</v>
      </c>
      <c r="D12" s="112" t="s">
        <v>127</v>
      </c>
      <c r="E12" s="112" t="s">
        <v>104</v>
      </c>
      <c r="F12" s="112" t="s">
        <v>176</v>
      </c>
    </row>
    <row r="13" spans="1:6" x14ac:dyDescent="0.2">
      <c r="A13" s="111">
        <v>10</v>
      </c>
      <c r="B13" s="112" t="s">
        <v>50</v>
      </c>
      <c r="C13" s="112" t="s">
        <v>339</v>
      </c>
      <c r="D13" s="112" t="s">
        <v>128</v>
      </c>
      <c r="E13" s="112" t="s">
        <v>105</v>
      </c>
      <c r="F13" s="112" t="s">
        <v>148</v>
      </c>
    </row>
    <row r="14" spans="1:6" x14ac:dyDescent="0.2">
      <c r="A14" s="111">
        <v>11</v>
      </c>
      <c r="B14" s="112" t="s">
        <v>28</v>
      </c>
      <c r="C14" s="112" t="s">
        <v>340</v>
      </c>
      <c r="D14" s="112" t="s">
        <v>129</v>
      </c>
      <c r="E14" s="112" t="s">
        <v>106</v>
      </c>
      <c r="F14" s="112" t="s">
        <v>149</v>
      </c>
    </row>
    <row r="15" spans="1:6" x14ac:dyDescent="0.2">
      <c r="A15" s="111">
        <v>12</v>
      </c>
      <c r="B15" s="112" t="s">
        <v>45</v>
      </c>
      <c r="C15" s="112" t="s">
        <v>341</v>
      </c>
      <c r="D15" s="112" t="s">
        <v>130</v>
      </c>
      <c r="E15" s="112" t="s">
        <v>112</v>
      </c>
      <c r="F15" s="112" t="s">
        <v>150</v>
      </c>
    </row>
    <row r="16" spans="1:6" x14ac:dyDescent="0.2">
      <c r="A16" s="111">
        <v>13</v>
      </c>
      <c r="B16" s="112" t="s">
        <v>36</v>
      </c>
      <c r="C16" s="112" t="s">
        <v>343</v>
      </c>
      <c r="D16" s="112" t="s">
        <v>131</v>
      </c>
      <c r="E16" s="112" t="s">
        <v>107</v>
      </c>
      <c r="F16" s="112" t="s">
        <v>152</v>
      </c>
    </row>
    <row r="17" spans="1:6" x14ac:dyDescent="0.2">
      <c r="A17" s="111">
        <v>14</v>
      </c>
      <c r="B17" s="112" t="s">
        <v>46</v>
      </c>
      <c r="C17" s="112" t="s">
        <v>342</v>
      </c>
      <c r="D17" s="112" t="s">
        <v>132</v>
      </c>
      <c r="E17" s="112" t="s">
        <v>113</v>
      </c>
      <c r="F17" s="112" t="s">
        <v>151</v>
      </c>
    </row>
    <row r="18" spans="1:6" x14ac:dyDescent="0.2">
      <c r="A18" s="111">
        <v>15</v>
      </c>
      <c r="B18" s="112" t="s">
        <v>75</v>
      </c>
      <c r="C18" s="112" t="s">
        <v>344</v>
      </c>
      <c r="D18" s="112" t="s">
        <v>133</v>
      </c>
      <c r="E18" s="112" t="s">
        <v>108</v>
      </c>
      <c r="F18" s="112" t="s">
        <v>153</v>
      </c>
    </row>
    <row r="19" spans="1:6" x14ac:dyDescent="0.2">
      <c r="A19" s="111">
        <v>16</v>
      </c>
      <c r="B19" s="112" t="s">
        <v>85</v>
      </c>
      <c r="C19" s="112" t="s">
        <v>345</v>
      </c>
      <c r="D19" s="112" t="s">
        <v>134</v>
      </c>
      <c r="E19" s="112" t="s">
        <v>109</v>
      </c>
      <c r="F19" s="112" t="s">
        <v>154</v>
      </c>
    </row>
    <row r="20" spans="1:6" x14ac:dyDescent="0.2">
      <c r="A20" s="111">
        <v>17</v>
      </c>
      <c r="B20" s="112" t="s">
        <v>86</v>
      </c>
      <c r="C20" s="112" t="s">
        <v>346</v>
      </c>
      <c r="D20" s="112" t="s">
        <v>135</v>
      </c>
      <c r="E20" s="112" t="s">
        <v>110</v>
      </c>
      <c r="F20" s="112" t="s">
        <v>155</v>
      </c>
    </row>
    <row r="21" spans="1:6" x14ac:dyDescent="0.2">
      <c r="A21" s="111">
        <v>18</v>
      </c>
      <c r="B21" s="112" t="s">
        <v>53</v>
      </c>
      <c r="C21" s="112" t="s">
        <v>347</v>
      </c>
      <c r="D21" s="112" t="s">
        <v>136</v>
      </c>
      <c r="E21" s="112" t="s">
        <v>111</v>
      </c>
      <c r="F21" s="112" t="s">
        <v>177</v>
      </c>
    </row>
    <row r="22" spans="1:6" x14ac:dyDescent="0.2">
      <c r="A22" s="111">
        <v>19</v>
      </c>
      <c r="B22" s="112" t="s">
        <v>61</v>
      </c>
      <c r="C22" s="112" t="s">
        <v>348</v>
      </c>
      <c r="D22" s="112" t="s">
        <v>137</v>
      </c>
      <c r="E22" s="112" t="s">
        <v>156</v>
      </c>
      <c r="F22" s="112" t="s">
        <v>166</v>
      </c>
    </row>
    <row r="23" spans="1:6" x14ac:dyDescent="0.2">
      <c r="A23" s="111">
        <v>20</v>
      </c>
      <c r="B23" s="112" t="s">
        <v>219</v>
      </c>
      <c r="C23" s="112" t="s">
        <v>350</v>
      </c>
      <c r="D23" s="112" t="s">
        <v>138</v>
      </c>
      <c r="E23" s="112" t="s">
        <v>157</v>
      </c>
      <c r="F23" s="112" t="s">
        <v>167</v>
      </c>
    </row>
    <row r="24" spans="1:6" x14ac:dyDescent="0.2">
      <c r="A24" s="111">
        <v>21</v>
      </c>
      <c r="B24" s="112" t="s">
        <v>220</v>
      </c>
      <c r="C24" s="112" t="s">
        <v>349</v>
      </c>
      <c r="D24" s="112" t="s">
        <v>139</v>
      </c>
      <c r="E24" s="112" t="s">
        <v>158</v>
      </c>
      <c r="F24" s="112" t="s">
        <v>168</v>
      </c>
    </row>
    <row r="25" spans="1:6" x14ac:dyDescent="0.2">
      <c r="A25" s="111">
        <v>22</v>
      </c>
      <c r="B25" s="112" t="s">
        <v>63</v>
      </c>
      <c r="C25" s="112" t="s">
        <v>351</v>
      </c>
      <c r="D25" s="112" t="s">
        <v>140</v>
      </c>
      <c r="E25" s="112" t="s">
        <v>159</v>
      </c>
      <c r="F25" s="112" t="s">
        <v>160</v>
      </c>
    </row>
    <row r="26" spans="1:6" x14ac:dyDescent="0.2">
      <c r="A26" s="111">
        <v>23</v>
      </c>
      <c r="B26" s="112" t="s">
        <v>62</v>
      </c>
      <c r="C26" s="112" t="s">
        <v>352</v>
      </c>
      <c r="D26" s="112" t="s">
        <v>141</v>
      </c>
      <c r="E26" s="112" t="s">
        <v>115</v>
      </c>
      <c r="F26" s="112" t="s">
        <v>169</v>
      </c>
    </row>
    <row r="27" spans="1:6" x14ac:dyDescent="0.2">
      <c r="A27" s="111">
        <v>24</v>
      </c>
      <c r="B27" s="112" t="s">
        <v>51</v>
      </c>
      <c r="C27" s="112" t="s">
        <v>353</v>
      </c>
      <c r="D27" s="112" t="s">
        <v>142</v>
      </c>
      <c r="E27" s="112" t="s">
        <v>116</v>
      </c>
      <c r="F27" s="112" t="s">
        <v>170</v>
      </c>
    </row>
    <row r="28" spans="1:6" x14ac:dyDescent="0.2">
      <c r="A28" s="111">
        <v>25</v>
      </c>
      <c r="B28" s="112" t="s">
        <v>72</v>
      </c>
      <c r="C28" s="112" t="s">
        <v>354</v>
      </c>
      <c r="D28" s="112" t="s">
        <v>143</v>
      </c>
      <c r="E28" s="112" t="s">
        <v>117</v>
      </c>
      <c r="F28" s="112" t="s">
        <v>171</v>
      </c>
    </row>
    <row r="29" spans="1:6" x14ac:dyDescent="0.2">
      <c r="A29" s="111">
        <v>26</v>
      </c>
      <c r="B29" s="112" t="s">
        <v>73</v>
      </c>
      <c r="C29" s="112" t="s">
        <v>355</v>
      </c>
      <c r="D29" s="112" t="s">
        <v>144</v>
      </c>
      <c r="E29" s="112" t="s">
        <v>118</v>
      </c>
      <c r="F29" s="112" t="s">
        <v>172</v>
      </c>
    </row>
    <row r="30" spans="1:6" x14ac:dyDescent="0.2">
      <c r="A30" s="111">
        <v>27</v>
      </c>
      <c r="B30" s="112" t="s">
        <v>163</v>
      </c>
      <c r="C30" s="112" t="s">
        <v>356</v>
      </c>
      <c r="D30" s="112" t="s">
        <v>145</v>
      </c>
      <c r="E30" s="112" t="s">
        <v>119</v>
      </c>
      <c r="F30" s="112" t="s">
        <v>161</v>
      </c>
    </row>
    <row r="31" spans="1:6" x14ac:dyDescent="0.2">
      <c r="A31" s="111">
        <v>28</v>
      </c>
      <c r="B31" s="112" t="s">
        <v>164</v>
      </c>
      <c r="C31" s="112" t="s">
        <v>357</v>
      </c>
      <c r="D31" s="112" t="s">
        <v>146</v>
      </c>
      <c r="E31" s="112" t="s">
        <v>120</v>
      </c>
      <c r="F31" s="112" t="s">
        <v>162</v>
      </c>
    </row>
    <row r="32" spans="1:6" x14ac:dyDescent="0.2">
      <c r="A32" s="111">
        <v>29</v>
      </c>
      <c r="B32" s="112" t="s">
        <v>34</v>
      </c>
      <c r="C32" s="112" t="s">
        <v>359</v>
      </c>
      <c r="D32" s="112" t="s">
        <v>147</v>
      </c>
      <c r="E32" s="112" t="s">
        <v>121</v>
      </c>
      <c r="F32" s="112" t="s">
        <v>180</v>
      </c>
    </row>
    <row r="33" spans="1:6" x14ac:dyDescent="0.2">
      <c r="A33" s="111">
        <v>30</v>
      </c>
      <c r="B33" s="112" t="s">
        <v>35</v>
      </c>
      <c r="C33" s="112" t="s">
        <v>358</v>
      </c>
      <c r="D33" s="112" t="s">
        <v>246</v>
      </c>
      <c r="E33" s="112" t="s">
        <v>122</v>
      </c>
      <c r="F33" s="112" t="s">
        <v>173</v>
      </c>
    </row>
    <row r="34" spans="1:6" x14ac:dyDescent="0.2">
      <c r="A34" s="111">
        <v>31</v>
      </c>
      <c r="B34" s="112" t="s">
        <v>195</v>
      </c>
      <c r="C34" s="112" t="s">
        <v>360</v>
      </c>
      <c r="D34" s="113" t="s">
        <v>244</v>
      </c>
      <c r="E34" s="112" t="s">
        <v>201</v>
      </c>
      <c r="F34" s="112" t="s">
        <v>207</v>
      </c>
    </row>
    <row r="35" spans="1:6" x14ac:dyDescent="0.2">
      <c r="A35" s="111">
        <v>32</v>
      </c>
      <c r="B35" s="112" t="s">
        <v>211</v>
      </c>
      <c r="C35" s="112" t="s">
        <v>361</v>
      </c>
      <c r="D35" s="113" t="s">
        <v>243</v>
      </c>
      <c r="E35" s="112" t="s">
        <v>212</v>
      </c>
      <c r="F35" s="112" t="s">
        <v>213</v>
      </c>
    </row>
    <row r="36" spans="1:6" x14ac:dyDescent="0.2">
      <c r="A36" s="114">
        <v>33</v>
      </c>
      <c r="B36" s="113" t="s">
        <v>196</v>
      </c>
      <c r="C36" s="113" t="s">
        <v>362</v>
      </c>
      <c r="D36" s="113" t="s">
        <v>208</v>
      </c>
      <c r="E36" s="113" t="s">
        <v>202</v>
      </c>
      <c r="F36" s="113" t="s">
        <v>214</v>
      </c>
    </row>
    <row r="37" spans="1:6" x14ac:dyDescent="0.2">
      <c r="A37" s="114">
        <v>34</v>
      </c>
      <c r="B37" s="113" t="s">
        <v>199</v>
      </c>
      <c r="C37" s="113" t="s">
        <v>365</v>
      </c>
      <c r="D37" s="113" t="s">
        <v>209</v>
      </c>
      <c r="E37" s="113" t="s">
        <v>203</v>
      </c>
      <c r="F37" s="113" t="s">
        <v>247</v>
      </c>
    </row>
    <row r="38" spans="1:6" x14ac:dyDescent="0.2">
      <c r="A38" s="114">
        <v>35</v>
      </c>
      <c r="B38" s="113" t="s">
        <v>197</v>
      </c>
      <c r="C38" s="113" t="s">
        <v>363</v>
      </c>
      <c r="D38" s="113" t="s">
        <v>210</v>
      </c>
      <c r="E38" s="113" t="s">
        <v>200</v>
      </c>
      <c r="F38" s="113" t="s">
        <v>205</v>
      </c>
    </row>
    <row r="39" spans="1:6" x14ac:dyDescent="0.2">
      <c r="A39" s="114">
        <v>36</v>
      </c>
      <c r="B39" s="113" t="s">
        <v>198</v>
      </c>
      <c r="C39" s="113" t="s">
        <v>364</v>
      </c>
      <c r="D39" s="113" t="s">
        <v>198</v>
      </c>
      <c r="E39" s="113" t="s">
        <v>204</v>
      </c>
      <c r="F39" s="113" t="s">
        <v>206</v>
      </c>
    </row>
    <row r="40" spans="1:6" x14ac:dyDescent="0.2">
      <c r="A40" s="114">
        <v>37</v>
      </c>
      <c r="B40" s="113" t="s">
        <v>248</v>
      </c>
      <c r="C40" s="113" t="s">
        <v>366</v>
      </c>
      <c r="D40" s="113" t="s">
        <v>250</v>
      </c>
      <c r="E40" s="113" t="s">
        <v>254</v>
      </c>
      <c r="F40" s="113" t="s">
        <v>249</v>
      </c>
    </row>
    <row r="41" spans="1:6" x14ac:dyDescent="0.2">
      <c r="A41" s="114">
        <v>38</v>
      </c>
      <c r="B41" s="113" t="s">
        <v>251</v>
      </c>
      <c r="C41" s="113" t="s">
        <v>367</v>
      </c>
      <c r="D41" s="113" t="s">
        <v>253</v>
      </c>
      <c r="E41" s="113" t="s">
        <v>255</v>
      </c>
      <c r="F41" s="113" t="s">
        <v>252</v>
      </c>
    </row>
  </sheetData>
  <sheetProtection selectLockedCells="1" selectUnlockedCells="1"/>
  <conditionalFormatting sqref="B1:F1">
    <cfRule type="containsText" dxfId="1" priority="5" operator="containsText" text="V">
      <formula>NOT(ISERROR(SEARCH("V",B1)))</formula>
    </cfRule>
  </conditionalFormatting>
  <conditionalFormatting sqref="E6">
    <cfRule type="containsText" dxfId="0" priority="2" operator="containsText" text="V">
      <formula>NOT(ISERROR(SEARCH("V",E6)))</formula>
    </cfRule>
  </conditionalFormatting>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B13"/>
  <sheetViews>
    <sheetView workbookViewId="0">
      <selection activeCell="J16" sqref="J16"/>
    </sheetView>
  </sheetViews>
  <sheetFormatPr defaultColWidth="9.140625" defaultRowHeight="15" x14ac:dyDescent="0.25"/>
  <cols>
    <col min="1" max="1" width="9.140625" style="59"/>
    <col min="2" max="16384" width="9.140625" style="51"/>
  </cols>
  <sheetData>
    <row r="1" spans="1:2" s="1" customFormat="1" x14ac:dyDescent="0.25">
      <c r="A1" s="67" t="s">
        <v>41</v>
      </c>
    </row>
    <row r="2" spans="1:2" ht="6" customHeight="1" x14ac:dyDescent="0.25"/>
    <row r="3" spans="1:2" s="90" customFormat="1" ht="15" customHeight="1" x14ac:dyDescent="0.25">
      <c r="A3" s="93" t="s">
        <v>241</v>
      </c>
      <c r="B3" s="92" t="s">
        <v>242</v>
      </c>
    </row>
    <row r="4" spans="1:2" s="90" customFormat="1" ht="15" customHeight="1" x14ac:dyDescent="0.25">
      <c r="A4" s="93" t="s">
        <v>238</v>
      </c>
      <c r="B4" s="92" t="s">
        <v>239</v>
      </c>
    </row>
    <row r="5" spans="1:2" s="90" customFormat="1" ht="15" customHeight="1" x14ac:dyDescent="0.25">
      <c r="A5" s="68" t="s">
        <v>190</v>
      </c>
      <c r="B5" s="92" t="s">
        <v>215</v>
      </c>
    </row>
    <row r="6" spans="1:2" s="90" customFormat="1" ht="15" customHeight="1" x14ac:dyDescent="0.25">
      <c r="A6" s="93" t="s">
        <v>185</v>
      </c>
      <c r="B6" s="92" t="s">
        <v>188</v>
      </c>
    </row>
    <row r="7" spans="1:2" s="3" customFormat="1" x14ac:dyDescent="0.25">
      <c r="A7" s="93" t="s">
        <v>96</v>
      </c>
      <c r="B7" s="92" t="s">
        <v>187</v>
      </c>
    </row>
    <row r="8" spans="1:2" s="3" customFormat="1" x14ac:dyDescent="0.25">
      <c r="A8" s="68" t="s">
        <v>56</v>
      </c>
      <c r="B8" s="66" t="s">
        <v>186</v>
      </c>
    </row>
    <row r="9" spans="1:2" s="3" customFormat="1" x14ac:dyDescent="0.25">
      <c r="A9" s="68" t="s">
        <v>57</v>
      </c>
      <c r="B9" s="66" t="s">
        <v>55</v>
      </c>
    </row>
    <row r="10" spans="1:2" s="3" customFormat="1" x14ac:dyDescent="0.25">
      <c r="A10" s="68" t="s">
        <v>58</v>
      </c>
      <c r="B10" s="66" t="s">
        <v>54</v>
      </c>
    </row>
    <row r="11" spans="1:2" s="3" customFormat="1" x14ac:dyDescent="0.25">
      <c r="A11" s="68" t="s">
        <v>59</v>
      </c>
      <c r="B11" s="66" t="s">
        <v>42</v>
      </c>
    </row>
    <row r="12" spans="1:2" s="3" customFormat="1" x14ac:dyDescent="0.25">
      <c r="A12" s="69"/>
      <c r="B12" s="66" t="s">
        <v>43</v>
      </c>
    </row>
    <row r="13" spans="1:2" s="3" customFormat="1" x14ac:dyDescent="0.25">
      <c r="A13" s="70" t="s">
        <v>60</v>
      </c>
      <c r="B13" s="66" t="s">
        <v>44</v>
      </c>
    </row>
  </sheetData>
  <sheetProtection sheet="1" objects="1" scenarios="1" selectLockedCells="1" selectUnlockedCells="1"/>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H29"/>
  <sheetViews>
    <sheetView workbookViewId="0">
      <selection activeCell="B35" sqref="B35"/>
    </sheetView>
  </sheetViews>
  <sheetFormatPr defaultRowHeight="15" x14ac:dyDescent="0.25"/>
  <cols>
    <col min="1" max="1" width="34.140625" customWidth="1"/>
    <col min="2" max="2" width="14.140625" customWidth="1"/>
    <col min="3" max="3" width="9.140625" customWidth="1"/>
    <col min="4" max="5" width="12.7109375" bestFit="1" customWidth="1"/>
    <col min="6" max="7" width="14.85546875" bestFit="1" customWidth="1"/>
  </cols>
  <sheetData>
    <row r="1" spans="1:8" x14ac:dyDescent="0.25">
      <c r="A1" t="s">
        <v>279</v>
      </c>
      <c r="B1" t="s">
        <v>12</v>
      </c>
      <c r="C1" t="s">
        <v>13</v>
      </c>
      <c r="D1" t="s">
        <v>15</v>
      </c>
      <c r="E1" t="s">
        <v>68</v>
      </c>
      <c r="F1" t="s">
        <v>23</v>
      </c>
      <c r="G1" t="s">
        <v>275</v>
      </c>
      <c r="H1" t="str">
        <f>Form!B19</f>
        <v>Max napětí PV MIN Teplota</v>
      </c>
    </row>
    <row r="2" spans="1:8" x14ac:dyDescent="0.25">
      <c r="A2" t="s">
        <v>273</v>
      </c>
      <c r="B2">
        <v>240</v>
      </c>
      <c r="C2">
        <v>480</v>
      </c>
      <c r="D2">
        <v>0</v>
      </c>
      <c r="E2">
        <v>50</v>
      </c>
      <c r="F2">
        <v>20</v>
      </c>
    </row>
    <row r="3" spans="1:8" x14ac:dyDescent="0.25">
      <c r="A3" t="s">
        <v>274</v>
      </c>
      <c r="B3">
        <v>390</v>
      </c>
      <c r="C3">
        <v>780</v>
      </c>
      <c r="D3">
        <v>0</v>
      </c>
      <c r="E3">
        <v>100</v>
      </c>
      <c r="F3">
        <v>30</v>
      </c>
      <c r="G3" t="s">
        <v>280</v>
      </c>
      <c r="H3">
        <f>Form!F19</f>
        <v>81.327200000000005</v>
      </c>
    </row>
    <row r="5" spans="1:8" x14ac:dyDescent="0.25">
      <c r="A5" t="s">
        <v>278</v>
      </c>
      <c r="B5" t="s">
        <v>2</v>
      </c>
      <c r="C5" t="s">
        <v>216</v>
      </c>
      <c r="D5" t="s">
        <v>4</v>
      </c>
      <c r="E5" t="s">
        <v>217</v>
      </c>
      <c r="F5" t="s">
        <v>3</v>
      </c>
    </row>
    <row r="6" spans="1:8" x14ac:dyDescent="0.25">
      <c r="B6" t="s">
        <v>222</v>
      </c>
      <c r="C6" t="s">
        <v>223</v>
      </c>
      <c r="D6" t="s">
        <v>224</v>
      </c>
      <c r="E6" t="s">
        <v>223</v>
      </c>
      <c r="F6" t="s">
        <v>224</v>
      </c>
    </row>
    <row r="7" spans="1:8" x14ac:dyDescent="0.25">
      <c r="A7" t="s">
        <v>276</v>
      </c>
      <c r="B7">
        <v>285</v>
      </c>
      <c r="C7">
        <v>31.7</v>
      </c>
      <c r="D7">
        <v>9</v>
      </c>
      <c r="E7">
        <v>38.700000000000003</v>
      </c>
      <c r="F7">
        <v>9.42</v>
      </c>
    </row>
    <row r="8" spans="1:8" x14ac:dyDescent="0.25">
      <c r="A8" t="s">
        <v>277</v>
      </c>
      <c r="B8">
        <v>150</v>
      </c>
      <c r="C8">
        <v>18</v>
      </c>
      <c r="D8">
        <v>8.93</v>
      </c>
      <c r="E8">
        <v>22.38</v>
      </c>
      <c r="F8">
        <v>8.94</v>
      </c>
    </row>
    <row r="12" spans="1:8" x14ac:dyDescent="0.25">
      <c r="A12" s="153" t="s">
        <v>274</v>
      </c>
      <c r="B12" s="153"/>
      <c r="C12" s="153"/>
    </row>
    <row r="13" spans="1:8" x14ac:dyDescent="0.25">
      <c r="A13" t="s">
        <v>12</v>
      </c>
      <c r="B13">
        <v>390</v>
      </c>
      <c r="C13" s="150" t="s">
        <v>281</v>
      </c>
    </row>
    <row r="14" spans="1:8" x14ac:dyDescent="0.25">
      <c r="A14" t="s">
        <v>13</v>
      </c>
      <c r="B14">
        <v>780</v>
      </c>
      <c r="C14" s="150" t="s">
        <v>281</v>
      </c>
    </row>
    <row r="15" spans="1:8" x14ac:dyDescent="0.25">
      <c r="A15" t="s">
        <v>15</v>
      </c>
      <c r="B15">
        <v>0</v>
      </c>
      <c r="C15" s="150" t="s">
        <v>281</v>
      </c>
    </row>
    <row r="16" spans="1:8" x14ac:dyDescent="0.25">
      <c r="A16" t="s">
        <v>68</v>
      </c>
      <c r="B16">
        <v>100</v>
      </c>
      <c r="C16" s="150" t="s">
        <v>233</v>
      </c>
    </row>
    <row r="17" spans="1:3" x14ac:dyDescent="0.25">
      <c r="A17" s="151" t="s">
        <v>23</v>
      </c>
      <c r="B17" s="151">
        <v>30</v>
      </c>
      <c r="C17" s="154" t="s">
        <v>236</v>
      </c>
    </row>
    <row r="18" spans="1:3" x14ac:dyDescent="0.25">
      <c r="A18" s="153" t="s">
        <v>276</v>
      </c>
      <c r="B18" s="153"/>
      <c r="C18" s="155"/>
    </row>
    <row r="19" spans="1:3" x14ac:dyDescent="0.25">
      <c r="A19" t="s">
        <v>284</v>
      </c>
      <c r="B19">
        <v>285</v>
      </c>
      <c r="C19" s="150" t="s">
        <v>99</v>
      </c>
    </row>
    <row r="20" spans="1:3" x14ac:dyDescent="0.25">
      <c r="A20" t="s">
        <v>282</v>
      </c>
      <c r="B20">
        <v>31.7</v>
      </c>
      <c r="C20" s="150" t="s">
        <v>233</v>
      </c>
    </row>
    <row r="21" spans="1:3" x14ac:dyDescent="0.25">
      <c r="A21" s="151" t="s">
        <v>283</v>
      </c>
      <c r="B21" s="151">
        <v>9</v>
      </c>
      <c r="C21" s="154" t="s">
        <v>236</v>
      </c>
    </row>
    <row r="22" spans="1:3" x14ac:dyDescent="0.25">
      <c r="A22" s="153" t="s">
        <v>288</v>
      </c>
      <c r="B22" s="153"/>
      <c r="C22" s="155"/>
    </row>
    <row r="23" spans="1:3" x14ac:dyDescent="0.25">
      <c r="A23" s="51" t="s">
        <v>285</v>
      </c>
      <c r="B23" s="152">
        <v>85</v>
      </c>
      <c r="C23" s="150" t="s">
        <v>286</v>
      </c>
    </row>
    <row r="24" spans="1:3" x14ac:dyDescent="0.25">
      <c r="A24" s="152" t="s">
        <v>287</v>
      </c>
      <c r="B24" s="152">
        <v>10</v>
      </c>
      <c r="C24" s="150" t="s">
        <v>236</v>
      </c>
    </row>
    <row r="25" spans="1:3" x14ac:dyDescent="0.25">
      <c r="A25" s="152"/>
      <c r="B25" s="152"/>
      <c r="C25" s="150"/>
    </row>
    <row r="26" spans="1:3" x14ac:dyDescent="0.25">
      <c r="A26" t="s">
        <v>45</v>
      </c>
      <c r="B26" s="149">
        <f>Form!F19</f>
        <v>81.327200000000005</v>
      </c>
      <c r="C26" s="150" t="s">
        <v>233</v>
      </c>
    </row>
    <row r="27" spans="1:3" x14ac:dyDescent="0.25">
      <c r="A27" t="s">
        <v>46</v>
      </c>
      <c r="B27" s="149">
        <f>Form!F21</f>
        <v>43.456121046344528</v>
      </c>
      <c r="C27" s="150" t="s">
        <v>233</v>
      </c>
    </row>
    <row r="28" spans="1:3" x14ac:dyDescent="0.25">
      <c r="A28" t="s">
        <v>85</v>
      </c>
      <c r="B28" s="149">
        <f>Form!F23</f>
        <v>80</v>
      </c>
      <c r="C28" s="150" t="s">
        <v>236</v>
      </c>
    </row>
    <row r="29" spans="1:3" x14ac:dyDescent="0.25">
      <c r="A29" t="s">
        <v>86</v>
      </c>
      <c r="B29" s="149">
        <f>Form!F25</f>
        <v>77.356889490234366</v>
      </c>
      <c r="C29" s="150" t="s">
        <v>236</v>
      </c>
    </row>
  </sheetData>
  <pageMargins left="0.7" right="0.7" top="0.78740157499999996" bottom="0.78740157499999996" header="0.3" footer="0.3"/>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7</vt:i4>
      </vt:variant>
      <vt:variant>
        <vt:lpstr>Named Ranges</vt:lpstr>
      </vt:variant>
      <vt:variant>
        <vt:i4>1</vt:i4>
      </vt:variant>
    </vt:vector>
  </HeadingPairs>
  <TitlesOfParts>
    <vt:vector size="8" baseType="lpstr">
      <vt:lpstr>Form</vt:lpstr>
      <vt:lpstr>Modules</vt:lpstr>
      <vt:lpstr>Regulator</vt:lpstr>
      <vt:lpstr>Calculation table</vt:lpstr>
      <vt:lpstr>Language</vt:lpstr>
      <vt:lpstr>Version</vt:lpstr>
      <vt:lpstr>List1</vt:lpstr>
      <vt:lpstr>Form!Print_Area</vt:lpstr>
    </vt:vector>
  </TitlesOfParts>
  <Company>Victron Energy BV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VE MPPT Calc</dc:title>
  <dc:subject>Calculation tool</dc:subject>
  <dc:creator>B Hopman</dc:creator>
  <dc:description>Version 1.5</dc:description>
  <cp:lastModifiedBy>Oldřich Hucek</cp:lastModifiedBy>
  <cp:revision>1</cp:revision>
  <cp:lastPrinted>2014-04-30T13:11:05Z</cp:lastPrinted>
  <dcterms:created xsi:type="dcterms:W3CDTF">2014-03-13T06:46:09Z</dcterms:created>
  <dcterms:modified xsi:type="dcterms:W3CDTF">2022-12-02T14:49:26Z</dcterms:modified>
  <cp:version>1.5</cp:version>
</cp:coreProperties>
</file>